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P4gkSc9fzbHCkVDwjlkrQRPd7Lc9ccxl5Hty6ewnzf37xKKlruox7ZA+S1//gTWvWc8fQG4Wa8CvUFrDmrPp4A==" workbookSaltValue="caN9LFGGy53pvYFm5jUA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5" i="11"/>
  <c r="BH15" i="11"/>
  <c r="AP16" i="20"/>
  <c r="BH9" i="16"/>
  <c r="BJ17" i="11"/>
  <c r="BH15" i="16"/>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F17" i="11"/>
  <c r="AZ17" i="11"/>
  <c r="BJ11" i="11"/>
  <c r="BL11" i="11"/>
  <c r="T15" i="16"/>
  <c r="BV16" i="16"/>
  <c r="BU9" i="17"/>
  <c r="BU12" i="17"/>
  <c r="AZ16" i="11"/>
  <c r="P15" i="17"/>
  <c r="P18" i="17" s="1"/>
  <c r="P19" i="17" s="1"/>
  <c r="BJ10" i="11"/>
  <c r="S17" i="17"/>
  <c r="L12" i="2"/>
  <c r="X15" i="16"/>
  <c r="X18" i="16" s="1"/>
  <c r="Q17" i="20"/>
  <c r="Q18" i="20" s="1"/>
  <c r="S17" i="16"/>
  <c r="S18" i="16" s="1"/>
  <c r="V17" i="16"/>
  <c r="BK15" i="11"/>
  <c r="Q10" i="21"/>
  <c r="BI17" i="11"/>
  <c r="BW9" i="20"/>
  <c r="BV15" i="16"/>
  <c r="BU17" i="17"/>
  <c r="X17" i="17"/>
  <c r="BL15" i="11"/>
  <c r="BH11" i="11"/>
  <c r="S15" i="17"/>
  <c r="S16" i="17"/>
  <c r="L17" i="2"/>
  <c r="V10" i="16"/>
  <c r="BM15"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N18" i="11"/>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<sst xmlns="http://schemas.openxmlformats.org/spreadsheetml/2006/main" count="2102" uniqueCount="918">
  <si>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</si>
  <si>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</si>
  <si>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</si>
  <si>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</si>
  <si>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</si>
  <si>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</si>
  <si>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</si>
  <si>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</si>
  <si>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</si>
  <si>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</si>
  <si>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</si>
  <si>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</si>
  <si>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</si>
  <si>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</si>
  <si>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</si>
  <si>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</si>
  <si>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</si>
  <si>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</si>
  <si>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</si>
  <si>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</si>
  <si>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</si>
  <si>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</si>
  <si>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</si>
  <si>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</si>
  <si>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</si>
  <si>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</si>
  <si>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</si>
  <si>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</si>
  <si>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</si>
  <si>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</si>
  <si>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</si>
  <si>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</si>
  <si>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</si>
  <si>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</si>
  <si>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</si>
  <si>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</si>
  <si>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</si>
  <si>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</si>
  <si>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</si>
  <si>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</si>
  <si>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</si>
  <si>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</si>
  <si>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</si>
  <si>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</si>
  <si>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</si>
  <si>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</si>
  <si>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</si>
  <si>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</si>
  <si>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</si>
  <si>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</si>
  <si>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</si>
  <si>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</si>
  <si>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</si>
  <si>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</si>
  <si>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</si>
  <si>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</si>
  <si>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</si>
  <si>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</si>
  <si>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</si>
  <si>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</si>
  <si>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</si>
  <si>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</si>
  <si>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</si>
  <si>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</si>
  <si>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</si>
  <si>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</si>
  <si>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</si>
  <si>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</si>
  <si>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</si>
  <si>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</si>
  <si>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</si>
  <si>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</si>
  <si>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</si>
  <si>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</si>
  <si>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</si>
  <si>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</si>
  <si>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</si>
  <si>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</si>
  <si>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</si>
  <si>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</si>
  <si>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</si>
  <si>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</si>
  <si>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</si>
  <si>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</si>
  <si>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</si>
  <si>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</si>
  <si>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</si>
  <si>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</si>
  <si>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</si>
  <si>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</si>
  <si>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</si>
  <si>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</si>
  <si>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</si>
  <si>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</si>
  <si>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</si>
  <si>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</si>
  <si>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</si>
  <si>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</si>
  <si>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</si>
  <si>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</si>
  <si>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</si>
  <si>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</si>
  <si>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</si>
  <si>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</si>
  <si>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</si>
  <si>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</si>
  <si>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</si>
  <si>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</si>
  <si>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</si>
  <si>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</si>
  <si>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</si>
  <si>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</si>
  <si>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</si>
  <si>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</si>
  <si>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</si>
  <si>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</si>
  <si>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</si>
  <si>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</si>
  <si>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</si>
  <si>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</si>
  <si>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</si>
  <si>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</si>
  <si>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</si>
  <si>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</si>
  <si>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</si>
  <si>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</si>
  <si>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</si>
  <si>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</si>
  <si>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</si>
  <si>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</si>
  <si>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</si>
  <si>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</si>
  <si>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</si>
  <si>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</si>
  <si>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</si>
  <si>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</si>
  <si>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</si>
  <si>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</si>
  <si>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</si>
  <si>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</si>
  <si>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</si>
  <si>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</si>
  <si>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</si>
  <si>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</si>
  <si>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</si>
  <si>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</si>
  <si>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</si>
  <si>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</si>
  <si>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</si>
  <si>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</si>
  <si>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</si>
  <si>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</si>
  <si>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</si>
  <si>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</si>
  <si>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</si>
  <si>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</si>
  <si>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</si>
  <si>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</si>
  <si>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</si>
  <si>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</si>
  <si>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</si>
  <si>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</si>
  <si>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</si>
  <si>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</si>
  <si>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</si>
  <si>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</si>
  <si>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</si>
  <si>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</si>
  <si>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</si>
  <si>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</si>
  <si>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</si>
  <si>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</si>
  <si>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</si>
  <si>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</si>
  <si>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</si>
  <si>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</si>
  <si>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</si>
  <si>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</si>
  <si>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</si>
  <si>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</si>
  <si>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</si>
  <si>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</si>
  <si>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</si>
  <si>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</si>
  <si>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</si>
  <si>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</si>
  <si>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</si>
  <si>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</si>
  <si>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</si>
  <si>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</si>
  <si>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</si>
  <si>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</si>
  <si>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</si>
  <si>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</si>
  <si>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</si>
  <si>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</si>
  <si>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</si>
  <si>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</si>
  <si>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</si>
  <si>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</si>
  <si>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</si>
  <si>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</si>
  <si>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</si>
  <si>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</si>
  <si>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</si>
  <si>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</si>
  <si>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</si>
  <si>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</si>
  <si>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</si>
  <si>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</si>
  <si>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</si>
  <si>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</si>
  <si>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</si>
  <si>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</si>
  <si>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</si>
  <si>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</si>
  <si>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</si>
  <si>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</si>
  <si>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</si>
  <si>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</si>
  <si>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</si>
  <si>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</si>
  <si>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</si>
  <si>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</si>
  <si>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</si>
  <si>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</si>
  <si>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</si>
  <si>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</si>
  <si>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</si>
  <si>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</si>
  <si>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</si>
  <si>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</si>
  <si>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</si>
  <si>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</si>
  <si>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</si>
  <si>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</si>
  <si>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</si>
  <si>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</si>
  <si>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</si>
  <si>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</si>
  <si>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</si>
  <si>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</si>
  <si>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</si>
  <si>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</si>
  <si>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</si>
  <si>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</si>
  <si>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</si>
  <si>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</si>
  <si>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</si>
  <si>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</si>
  <si>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</si>
  <si>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</si>
  <si>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</si>
  <si>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</si>
  <si>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</si>
  <si>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</si>
  <si>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</si>
  <si>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</si>
  <si>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</si>
  <si>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</si>
  <si>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</si>
  <si>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</si>
  <si>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</si>
  <si>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</si>
  <si>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</si>
  <si>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</si>
  <si>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</si>
  <si>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</si>
  <si>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</si>
  <si>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</si>
  <si>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</si>
  <si>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</si>
  <si>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</si>
  <si>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</si>
  <si>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</si>
  <si>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</si>
  <si>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</si>
  <si>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</si>
  <si>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</si>
  <si>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</si>
  <si>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</si>
  <si>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</si>
  <si>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</si>
  <si>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</si>
  <si>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</si>
  <si>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</si>
  <si>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</si>
  <si>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</si>
  <si>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</si>
  <si>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</si>
  <si>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</si>
  <si>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</si>
  <si>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</si>
  <si>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</si>
  <si>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</si>
  <si>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</si>
  <si>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</si>
  <si>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</si>
  <si>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</si>
  <si>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</si>
  <si>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</si>
  <si>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</si>
  <si>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</si>
  <si>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</si>
  <si>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</si>
  <si>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</si>
  <si>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</si>
  <si>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</si>
  <si>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</si>
  <si>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</si>
  <si>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</si>
  <si>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</si>
  <si>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</si>
  <si>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</si>
  <si>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</si>
  <si>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</si>
  <si>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</si>
  <si>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</si>
  <si>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</si>
  <si>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</si>
  <si>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</si>
  <si>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</si>
  <si>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</si>
  <si>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</si>
  <si>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</si>
  <si>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</si>
  <si>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</si>
  <si>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</si>
  <si>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</si>
  <si>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</si>
  <si>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</si>
  <si>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</si>
  <si>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</si>
  <si>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</si>
  <si>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</si>
  <si>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</si>
  <si>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</si>
  <si>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</si>
  <si>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</si>
  <si>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</si>
  <si>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</si>
  <si>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</si>
  <si>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</si>
  <si>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</si>
  <si>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</si>
  <si>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</si>
  <si>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</si>
  <si>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</si>
  <si>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</si>
  <si>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</si>
  <si>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</si>
  <si>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</si>
  <si>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</si>
  <si>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</si>
  <si>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</si>
  <si>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</si>
  <si>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</si>
  <si>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</si>
  <si>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</si>
  <si>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</si>
  <si>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</si>
  <si>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</si>
  <si>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</si>
  <si>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</si>
  <si>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</si>
  <si>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</si>
  <si>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</si>
  <si>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</si>
  <si>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</si>
  <si>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</si>
  <si>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</si>
  <si>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</si>
  <si>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</si>
  <si>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</si>
  <si>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</si>
  <si>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</si>
  <si>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</si>
  <si>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</si>
  <si>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</si>
  <si>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</si>
  <si>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</si>
  <si>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</si>
  <si>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</si>
  <si>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</si>
  <si>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</si>
  <si>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</si>
  <si>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</si>
  <si>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</si>
  <si>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</si>
  <si>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</si>
  <si>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</si>
  <si>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</si>
  <si>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</si>
  <si>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</si>
  <si>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</si>
  <si>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</si>
  <si>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</si>
  <si>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</si>
  <si>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</si>
  <si>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</si>
  <si>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</si>
  <si>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</si>
  <si>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</si>
  <si>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</si>
  <si>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</si>
  <si>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</si>
  <si>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</si>
  <si>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</si>
  <si>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</si>
  <si>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</si>
  <si>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</si>
  <si>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</si>
  <si>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</si>
  <si>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</si>
  <si>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</si>
  <si>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</si>
  <si>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</si>
  <si>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</si>
  <si>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</si>
  <si>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</si>
  <si>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</si>
  <si>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</si>
  <si>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</si>
  <si>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</si>
  <si>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</si>
  <si>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</si>
  <si>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</si>
  <si>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</si>
  <si>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</si>
  <si>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</si>
  <si>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</si>
  <si>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</si>
  <si>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</si>
  <si>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</si>
  <si>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</si>
  <si>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</si>
  <si>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</si>
  <si>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</si>
  <si>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</si>
  <si>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</si>
  <si>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</si>
  <si>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</si>
  <si>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</si>
  <si>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</si>
  <si>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</si>
  <si>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</si>
  <si>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</si>
  <si>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</si>
  <si>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</si>
  <si>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</si>
  <si>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</si>
  <si>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</si>
  <si>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</si>
  <si>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</si>
  <si>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</si>
  <si>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</si>
  <si>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</si>
  <si>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</si>
  <si>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</si>
  <si>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</si>
  <si>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</si>
  <si>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</si>
  <si>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</si>
  <si>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</si>
  <si>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</si>
  <si>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</si>
  <si>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</si>
  <si>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</si>
  <si>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</si>
  <si>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</si>
  <si>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</si>
  <si>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</si>
  <si>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</si>
  <si>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</si>
  <si>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</si>
  <si>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</si>
  <si>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</si>
  <si>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</si>
  <si>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</si>
  <si>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</si>
  <si>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</si>
  <si>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</si>
  <si>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</si>
  <si>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</si>
  <si>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</si>
  <si>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</si>
  <si>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</si>
  <si>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</si>
  <si>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</si>
  <si>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</si>
  <si>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</si>
  <si>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</si>
  <si>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</si>
  <si>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</si>
  <si>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</si>
  <si>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</si>
  <si>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</si>
  <si>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</si>
  <si>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</si>
  <si>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</si>
  <si>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</si>
  <si>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</si>
  <si>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</si>
  <si>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</si>
  <si>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</si>
  <si>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</si>
  <si>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</si>
  <si>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</si>
  <si>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</si>
  <si>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</si>
  <si>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</si>
  <si>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</si>
  <si>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</si>
  <si>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</si>
  <si>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</si>
  <si>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</si>
  <si>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</si>
  <si>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</si>
  <si>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</si>
  <si>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</si>
  <si>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</si>
  <si>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</si>
  <si>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</si>
  <si>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</si>
  <si>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</si>
  <si>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</si>
  <si>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</si>
  <si>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</si>
  <si>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</si>
  <si>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</si>
  <si>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</si>
  <si>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</si>
  <si>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</si>
  <si>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</si>
  <si>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</si>
  <si>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</si>
  <si>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</si>
  <si>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</si>
  <si>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</si>
  <si>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</si>
  <si>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</si>
  <si>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</si>
  <si>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</si>
  <si>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</si>
  <si>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</si>
  <si>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</si>
  <si>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</si>
  <si>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</si>
  <si>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</si>
  <si>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</si>
  <si>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</si>
  <si>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</si>
  <si>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</si>
  <si>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</si>
  <si>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</si>
  <si>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</si>
  <si>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</si>
  <si>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</si>
  <si>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</si>
  <si>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</si>
  <si>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</si>
  <si>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</si>
  <si>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</si>
  <si>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</si>
  <si>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</si>
  <si>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</si>
  <si>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</si>
  <si>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</si>
  <si>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</si>
  <si>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</si>
  <si>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</si>
  <si>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</si>
  <si>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</si>
  <si>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</si>
  <si>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</si>
  <si>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</si>
  <si>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</si>
  <si>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</si>
  <si>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</si>
  <si>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</si>
  <si>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</si>
  <si>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</si>
  <si>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</si>
  <si>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</si>
  <si>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</si>
  <si>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</si>
  <si>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</si>
  <si>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</si>
  <si>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</si>
  <si>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</si>
  <si>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</si>
  <si>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</si>
  <si>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</si>
  <si>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</si>
  <si>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</si>
  <si>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</si>
  <si>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</si>
  <si>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</si>
  <si>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</si>
  <si>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</si>
  <si>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</si>
  <si>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</si>
  <si>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</si>
  <si>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</si>
  <si>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</si>
  <si>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</si>
  <si>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</si>
  <si>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</si>
  <si>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</si>
  <si>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</si>
  <si>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</si>
  <si>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</si>
  <si>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</si>
  <si>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</si>
  <si>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</si>
  <si>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</si>
  <si>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</si>
  <si>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</si>
  <si>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</si>
  <si>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</si>
  <si>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</si>
  <si>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</si>
  <si>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</si>
  <si>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</si>
  <si>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</si>
  <si>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</si>
  <si>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</si>
  <si>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</si>
  <si>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</si>
  <si>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</si>
  <si>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</si>
  <si>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</si>
  <si>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</si>
  <si>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</si>
  <si>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</si>
  <si>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</si>
  <si>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</si>
  <si>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</si>
  <si>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</si>
  <si>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</si>
  <si>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</si>
  <si>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</si>
  <si>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</si>
  <si>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</si>
  <si>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</si>
  <si>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</si>
  <si>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</si>
  <si>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</si>
  <si>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</si>
  <si>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</si>
  <si>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</si>
  <si>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</si>
  <si>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</si>
  <si>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</si>
  <si>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</si>
  <si>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</si>
  <si>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</si>
  <si>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</si>
  <si>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</si>
  <si>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</si>
  <si>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</si>
  <si>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</si>
  <si>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</si>
  <si>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</si>
  <si>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</si>
  <si>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</si>
  <si>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</si>
  <si>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</si>
  <si>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</si>
  <si>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</si>
  <si>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</si>
  <si>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</si>
  <si>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</si>
  <si>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</si>
  <si>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</si>
  <si>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</si>
  <si>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</si>
  <si>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</si>
  <si>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</si>
  <si>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</si>
  <si>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</si>
  <si>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</si>
  <si>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</si>
  <si>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</si>
  <si>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</si>
  <si>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</si>
  <si>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</si>
  <si>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</si>
  <si>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</si>
  <si>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</si>
  <si>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</si>
  <si>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</si>
  <si>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</si>
  <si>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</si>
  <si>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</si>
  <si>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</si>
  <si>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</si>
  <si>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</si>
  <si>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</si>
  <si>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</si>
  <si>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</si>
  <si>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</si>
  <si>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</si>
  <si>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</si>
  <si>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</si>
  <si>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</si>
  <si>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</si>
  <si>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</si>
  <si>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</si>
  <si>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</si>
  <si>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</si>
  <si>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</si>
  <si>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</si>
  <si>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</si>
  <si>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</si>
  <si>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</si>
  <si>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</si>
  <si>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</si>
  <si>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</si>
  <si>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</si>
  <si>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</si>
  <si>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</si>
  <si>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</si>
  <si>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</si>
  <si>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</si>
  <si>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</si>
  <si>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</si>
  <si>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</si>
  <si>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</si>
  <si>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</si>
  <si>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</si>
  <si>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</si>
  <si>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</si>
  <si>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</si>
  <si>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</si>
  <si>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</si>
  <si>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</si>
  <si>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</si>
  <si>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</si>
  <si>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</si>
  <si>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</si>
  <si>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</si>
  <si>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</si>
  <si>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</si>
  <si>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</si>
  <si>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</si>
  <si>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</si>
  <si>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</si>
  <si>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</si>
  <si>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</si>
  <si>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</si>
  <si>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</si>
  <si>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</si>
  <si>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</si>
  <si>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</si>
  <si>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</si>
  <si>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</si>
  <si>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</si>
  <si>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</si>
  <si>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</si>
  <si>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</si>
  <si>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</si>
  <si>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</si>
  <si>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</si>
  <si>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</si>
  <si>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</si>
  <si>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</si>
  <si>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</si>
  <si>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</si>
  <si>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</si>
  <si>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</si>
  <si>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</si>
  <si>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</si>
  <si>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</si>
  <si>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</si>
  <si>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</si>
  <si>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</si>
  <si>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</si>
  <si>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</si>
  <si>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</si>
  <si>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</si>
  <si>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</si>
  <si>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</si>
  <si>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</si>
  <si>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</si>
  <si>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</si>
  <si>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</si>
  <si>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</si>
  <si>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</si>
  <si>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</si>
  <si>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</si>
  <si>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</si>
  <si>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</si>
  <si>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</si>
  <si>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</si>
  <si>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</si>
  <si>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</si>
  <si>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</si>
  <si>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</si>
  <si>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</si>
  <si>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</si>
  <si>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</si>
  <si>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</si>
  <si>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</si>
  <si>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</si>
  <si>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</si>
  <si>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</si>
  <si>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</si>
  <si>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</si>
  <si>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</si>
  <si>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</si>
  <si>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</si>
  <si>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</si>
  <si>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</si>
  <si>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</si>
  <si>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</si>
  <si>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</si>
  <si>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</si>
  <si>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</si>
  <si>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</si>
  <si>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</si>
  <si>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</si>
  <si>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</si>
  <si>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</si>
  <si>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</si>
  <si>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</si>
  <si>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</si>
  <si>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</si>
  <si>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</si>
  <si>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</si>
  <si>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</si>
  <si>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</si>
  <si>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</si>
  <si>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</si>
  <si>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</si>
  <si>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</si>
  <si>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</si>
  <si>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</si>
  <si>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</si>
  <si>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</si>
  <si>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</si>
  <si>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</si>
  <si>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</si>
  <si>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</si>
  <si>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</si>
  <si>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</si>
  <si>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</si>
  <si>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</si>
  <si>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</si>
  <si>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</si>
  <si>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</si>
  <si>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</si>
  <si>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</si>
  <si>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</si>
  <si>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</si>
  <si>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</si>
  <si>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</si>
  <si>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</si>
  <si>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</si>
  <si>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</si>
  <si>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</si>
  <si>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</si>
  <si>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</si>
  <si>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</si>
  <si>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</si>
  <si>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</si>
  <si>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</si>
  <si>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</si>
  <si>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</si>
  <si>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</si>
  <si>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</si>
  <si>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</si>
  <si>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</si>
  <si>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</si>
  <si>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</si>
  <si>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</si>
  <si>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</si>
  <si>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</si>
  <si>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</si>
  <si>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</si>
  <si>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</si>
  <si>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</si>
  <si>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</si>
  <si>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</si>
  <si>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</si>
  <si>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</si>
  <si>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</si>
  <si>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</si>
  <si>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</si>
  <si>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</si>
  <si>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</si>
  <si>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</si>
  <si>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</si>
  <si>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</si>
  <si>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</si>
  <si>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</si>
  <si>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</si>
  <si>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</si>
  <si>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</si>
  <si>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</si>
  <si>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</si>
  <si>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</si>
  <si>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</si>
  <si>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</si>
  <si>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</si>
  <si>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</si>
  <si>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</si>
  <si>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</si>
  <si>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</si>
  <si>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</si>
  <si>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</si>
  <si>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</si>
  <si>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</si>
  <si>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</si>
  <si>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</si>
  <si>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SALAMANCA</t>
  </si>
  <si>
    <t>Resumenes por Partidos Judiciales</t>
  </si>
  <si>
    <t>CIUDAD RODRIGO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</si>
</sst>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paOYSlqbbHiMJHT+mLF5TrHXfb3rwtPNowswC17noBE8mDuq0wjxniHeOpUllvs/gmHyIa7dKcJqtxpeu2E3g==" saltValue="ebZaRvsIsTJWiCPkhc9k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5</v>
      </c>
      <c r="F10" s="226">
        <f>IF(ISNUMBER(Datos!K10),Datos!K10," - ")</f>
        <v>5</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4.4000000000000004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4.3431257344300818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348</v>
      </c>
      <c r="D16" s="225">
        <f>IF(ISNUMBER(IF(D_I="SI",Datos!I16,Datos!I16+Datos!AC16)),IF(D_I="SI",Datos!I16,Datos!I16+Datos!AC16)," - ")</f>
        <v>382</v>
      </c>
      <c r="E16" s="226">
        <f>IF(ISNUMBER(IF(D_I="SI",Datos!J16,Datos!J16+Datos!AD16)),IF(D_I="SI",Datos!J16,Datos!J16+Datos!AD16)," - ")</f>
        <v>694</v>
      </c>
      <c r="F16" s="226">
        <f>IF(ISNUMBER(IF(D_I="SI",Datos!K16,Datos!K16+Datos!AE16)),IF(D_I="SI",Datos!K16,Datos!K16+Datos!AE16)," - ")</f>
        <v>736</v>
      </c>
      <c r="G16" s="1034" t="str">
        <f>IF(Datos!E16&lt;&gt;"",Datos!E16,Datos!D16)</f>
        <v>04</v>
      </c>
      <c r="H16" s="227">
        <f>IF(ISNUMBER(IF(D_I="SI",Datos!L16,Datos!L16+Datos!AF16)),IF(D_I="SI",Datos!L16,Datos!L16+Datos!AF16)," - ")</f>
        <v>306</v>
      </c>
      <c r="I16" s="1044" t="str">
        <f>IF(ISNUMBER(Datos!AS16/Datos!BM16),Datos!AS16/Datos!BM16," - ")</f>
        <v xml:space="preserve"> - </v>
      </c>
      <c r="J16" s="1045">
        <f>IF(ISNUMBER(Datos!BY16/Datos!CN16),Datos!BY16/Datos!CN16," - ")</f>
        <v>0</v>
      </c>
      <c r="K16" s="230">
        <f t="shared" si="3"/>
        <v>-0.1206896551724138</v>
      </c>
      <c r="L16" s="1025">
        <f>IF(ISNUMBER(NºAsuntos!I16/NºAsuntos!G16),(NºAsuntos!I16/NºAsuntos!G16)*11," - ")</f>
        <v>4.5733695652173916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64</v>
      </c>
      <c r="F17" s="226">
        <f>IF(ISNUMBER(IF(D_I="SI",Datos!K17,Datos!K17+Datos!AE17)),IF(D_I="SI",Datos!K17,Datos!K17+Datos!AE17)," - ")</f>
        <v>64</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2.578125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363</v>
      </c>
      <c r="D18" s="1049">
        <f>SUBTOTAL(9,D15:D17)</f>
        <v>397</v>
      </c>
      <c r="E18" s="1050">
        <f>SUBTOTAL(9,E15:E17)</f>
        <v>758</v>
      </c>
      <c r="F18" s="1050">
        <f>SUBTOTAL(9,F15:F17)</f>
        <v>800</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365</v>
      </c>
      <c r="D19" s="1071">
        <f>SUBTOTAL(9,D9:D18)</f>
        <v>399</v>
      </c>
      <c r="E19" s="1072">
        <f>SUBTOTAL(9,E9:E18)</f>
        <v>763</v>
      </c>
      <c r="F19" s="1072">
        <f>SUBTOTAL(9,F9:F18)</f>
        <v>805</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JVPuYAHH2BI1OB+3CFRbvod093nL+P0zKH1fufuAhi3J79GbAHdywyJ/ecFc3ohMD9n5d1Qdd3+vQeF6jHXkQ==" saltValue="9AfdURdyBHMFR3fEDvOY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qdKr9Bs3fEkOAnfAQCcEN8oJU+qe1dVlVROOFFgEJKBnjJ49aKcxD9krwDYZRYoLQc1ibXaDiT8YoSOgjhAWQ==" saltValue="HK+6DH3/yWBkgm2F3dFR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5</v>
      </c>
      <c r="K10" s="181">
        <v>5</v>
      </c>
      <c r="L10" s="181">
        <v>2</v>
      </c>
      <c r="M10" s="181">
        <v>4</v>
      </c>
      <c r="N10" s="181">
        <v>1</v>
      </c>
      <c r="O10" s="181">
        <v>0</v>
      </c>
      <c r="P10" s="181">
        <v>0</v>
      </c>
      <c r="Q10" s="181">
        <v>0</v>
      </c>
      <c r="R10" s="181">
        <v>0</v>
      </c>
      <c r="S10" s="181">
        <v>2</v>
      </c>
      <c r="T10" s="181">
        <v>4</v>
      </c>
      <c r="U10" s="181">
        <v>4</v>
      </c>
      <c r="V10" s="181">
        <v>2</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4</v>
      </c>
      <c r="BA10" s="129">
        <f t="shared" si="0"/>
        <v>4</v>
      </c>
      <c r="BB10" s="129">
        <f t="shared" si="0"/>
        <v>2</v>
      </c>
      <c r="BC10" s="125">
        <f t="shared" si="0"/>
        <v>4</v>
      </c>
      <c r="BD10" s="126">
        <f>IF(ISNUMBER(BA10/AZ10),BA10/AZ10," - ")</f>
        <v>1</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245</v>
      </c>
      <c r="J12" s="183">
        <v>825</v>
      </c>
      <c r="K12" s="183">
        <v>773</v>
      </c>
      <c r="L12" s="183">
        <v>316</v>
      </c>
      <c r="M12" s="183">
        <v>255</v>
      </c>
      <c r="N12" s="183">
        <v>322</v>
      </c>
      <c r="O12" s="181">
        <v>344</v>
      </c>
      <c r="P12" s="183">
        <v>196</v>
      </c>
      <c r="Q12" s="183">
        <v>239</v>
      </c>
      <c r="R12" s="183">
        <v>405</v>
      </c>
      <c r="S12" s="183">
        <v>186</v>
      </c>
      <c r="T12" s="183">
        <v>714</v>
      </c>
      <c r="U12" s="183">
        <v>655</v>
      </c>
      <c r="V12" s="183">
        <v>245</v>
      </c>
      <c r="W12" s="183">
        <v>152</v>
      </c>
      <c r="X12" s="189">
        <v>240</v>
      </c>
      <c r="Y12" s="191">
        <v>17</v>
      </c>
      <c r="Z12" s="181">
        <v>81</v>
      </c>
      <c r="AA12" s="181">
        <v>78</v>
      </c>
      <c r="AB12" s="181">
        <v>20</v>
      </c>
      <c r="AC12" s="183">
        <v>0</v>
      </c>
      <c r="AD12" s="183">
        <v>0</v>
      </c>
      <c r="AE12" s="183">
        <v>0</v>
      </c>
      <c r="AF12" s="189">
        <v>0</v>
      </c>
      <c r="AG12" s="202">
        <v>14</v>
      </c>
      <c r="AH12" s="183">
        <v>52</v>
      </c>
      <c r="AI12" s="183">
        <v>49</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200</v>
      </c>
      <c r="AZ12" s="127">
        <f t="shared" si="1"/>
        <v>766</v>
      </c>
      <c r="BA12" s="127">
        <f t="shared" si="1"/>
        <v>704</v>
      </c>
      <c r="BB12" s="127">
        <f t="shared" si="1"/>
        <v>262</v>
      </c>
      <c r="BC12" s="125">
        <f>IF(ISNUMBER(X12),X12," - ")</f>
        <v>240</v>
      </c>
      <c r="BD12" s="126">
        <f t="shared" si="2"/>
        <v>0.91906005221932119</v>
      </c>
      <c r="BE12" s="127">
        <f t="shared" si="3"/>
        <v>0.37215909090909088</v>
      </c>
      <c r="BF12" s="127">
        <f t="shared" si="4"/>
        <v>0.34090909090909088</v>
      </c>
      <c r="BG12" s="196">
        <f t="shared" si="5"/>
        <v>1.3721590909090908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247</v>
      </c>
      <c r="J13" s="184">
        <f t="shared" si="6"/>
        <v>830</v>
      </c>
      <c r="K13" s="184">
        <f t="shared" si="6"/>
        <v>778</v>
      </c>
      <c r="L13" s="184">
        <f t="shared" si="6"/>
        <v>318</v>
      </c>
      <c r="M13" s="184">
        <f t="shared" si="6"/>
        <v>259</v>
      </c>
      <c r="N13" s="184">
        <f t="shared" si="6"/>
        <v>323</v>
      </c>
      <c r="O13" s="184">
        <f t="shared" si="6"/>
        <v>344</v>
      </c>
      <c r="P13" s="184">
        <f t="shared" si="6"/>
        <v>196</v>
      </c>
      <c r="Q13" s="184">
        <f t="shared" si="6"/>
        <v>239</v>
      </c>
      <c r="R13" s="184">
        <f t="shared" si="6"/>
        <v>405</v>
      </c>
      <c r="S13" s="184">
        <f t="shared" si="6"/>
        <v>188</v>
      </c>
      <c r="T13" s="184">
        <f t="shared" si="6"/>
        <v>718</v>
      </c>
      <c r="U13" s="184">
        <f t="shared" si="6"/>
        <v>659</v>
      </c>
      <c r="V13" s="184">
        <f t="shared" si="6"/>
        <v>247</v>
      </c>
      <c r="W13" s="184">
        <f t="shared" si="6"/>
        <v>156</v>
      </c>
      <c r="X13" s="184">
        <f t="shared" si="6"/>
        <v>240</v>
      </c>
      <c r="Y13" s="184">
        <f t="shared" si="6"/>
        <v>17</v>
      </c>
      <c r="Z13" s="184">
        <f t="shared" si="6"/>
        <v>81</v>
      </c>
      <c r="AA13" s="184">
        <f t="shared" si="6"/>
        <v>78</v>
      </c>
      <c r="AB13" s="184">
        <f t="shared" si="6"/>
        <v>20</v>
      </c>
      <c r="AC13" s="184">
        <f t="shared" si="6"/>
        <v>0</v>
      </c>
      <c r="AD13" s="184">
        <f t="shared" si="6"/>
        <v>0</v>
      </c>
      <c r="AE13" s="184">
        <f t="shared" si="6"/>
        <v>0</v>
      </c>
      <c r="AF13" s="184">
        <f>SUBTOTAL(9,AF9:AF12)</f>
        <v>0</v>
      </c>
      <c r="AG13" s="184">
        <f t="shared" ref="AG13:AT13" si="7">SUBTOTAL(9,AG8:AG12)</f>
        <v>14</v>
      </c>
      <c r="AH13" s="184">
        <f t="shared" si="7"/>
        <v>52</v>
      </c>
      <c r="AI13" s="184">
        <f t="shared" si="7"/>
        <v>49</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202</v>
      </c>
      <c r="AZ13" s="184">
        <f>SUBTOTAL(9,AZ8:AZ12)</f>
        <v>770</v>
      </c>
      <c r="BA13" s="184">
        <f>SUBTOTAL(9,BA8:BA12)</f>
        <v>708</v>
      </c>
      <c r="BB13" s="184">
        <f>SUBTOTAL(9,BB8:BB12)</f>
        <v>264</v>
      </c>
      <c r="BC13" s="184">
        <f>SUBTOTAL(9,BC8:BC12)</f>
        <v>244</v>
      </c>
      <c r="BD13" s="205">
        <f>IF(ISNUMBER(BA13/AZ13),BA13/AZ13," - ")</f>
        <v>0.91948051948051945</v>
      </c>
      <c r="BE13" s="206">
        <f>IF(ISNUMBER(BB13/BA13),BB13/BA13, " - ")</f>
        <v>0.3728813559322034</v>
      </c>
      <c r="BF13" s="206">
        <f>IF(ISNUMBER(BC13/BA13),BC13/BA13, " - ")</f>
        <v>0.34463276836158191</v>
      </c>
      <c r="BG13" s="207">
        <f>IF(ISNUMBER((AY13+AZ13)/BA13),(AY13+AZ13)/BA13," - ")</f>
        <v>1.3728813559322033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382</v>
      </c>
      <c r="J16" s="183">
        <v>694</v>
      </c>
      <c r="K16" s="183">
        <v>736</v>
      </c>
      <c r="L16" s="183">
        <v>306</v>
      </c>
      <c r="M16" s="183">
        <v>129</v>
      </c>
      <c r="N16" s="183">
        <v>313</v>
      </c>
      <c r="O16" s="181">
        <v>13</v>
      </c>
      <c r="P16" s="183">
        <v>34</v>
      </c>
      <c r="Q16" s="183">
        <v>21</v>
      </c>
      <c r="R16" s="183">
        <v>43</v>
      </c>
      <c r="S16" s="183">
        <v>306</v>
      </c>
      <c r="T16" s="183">
        <v>709</v>
      </c>
      <c r="U16" s="183">
        <v>577</v>
      </c>
      <c r="V16" s="183">
        <v>382</v>
      </c>
      <c r="W16" s="183">
        <v>91</v>
      </c>
      <c r="X16" s="189">
        <v>280</v>
      </c>
      <c r="Y16" s="202">
        <v>0</v>
      </c>
      <c r="Z16" s="183">
        <v>0</v>
      </c>
      <c r="AA16" s="183">
        <v>0</v>
      </c>
      <c r="AB16" s="183">
        <v>0</v>
      </c>
      <c r="AC16" s="183">
        <v>0</v>
      </c>
      <c r="AD16" s="183">
        <v>10</v>
      </c>
      <c r="AE16" s="183">
        <v>10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306</v>
      </c>
      <c r="AZ16" s="127">
        <f t="shared" si="9"/>
        <v>709</v>
      </c>
      <c r="BA16" s="127">
        <f t="shared" si="9"/>
        <v>577</v>
      </c>
      <c r="BB16" s="127">
        <f t="shared" si="9"/>
        <v>382</v>
      </c>
      <c r="BC16" s="125">
        <f>IF(ISNUMBER(W16),W16," - ")</f>
        <v>91</v>
      </c>
      <c r="BD16" s="126">
        <f t="shared" ref="BD16" si="11">IF(ISNUMBER(BA16/AZ16),BA16/AZ16," - ")</f>
        <v>0.81382228490832154</v>
      </c>
      <c r="BE16" s="127">
        <f t="shared" ref="BE16" si="12">IF(ISNUMBER(BB16/BA16),BB16/BA16, " - ")</f>
        <v>0.66204506065857882</v>
      </c>
      <c r="BF16" s="127">
        <f t="shared" ref="BF16" si="13">IF(ISNUMBER(BC16/BA16),BC16/BA16, " - ")</f>
        <v>0.15771230502599654</v>
      </c>
      <c r="BG16" s="196">
        <f t="shared" si="10"/>
        <v>1.7590987868284229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64</v>
      </c>
      <c r="K17" s="183">
        <v>64</v>
      </c>
      <c r="L17" s="183">
        <v>15</v>
      </c>
      <c r="M17" s="183">
        <v>7</v>
      </c>
      <c r="N17" s="183">
        <v>43</v>
      </c>
      <c r="O17" s="183">
        <v>0</v>
      </c>
      <c r="P17" s="183">
        <v>0</v>
      </c>
      <c r="Q17" s="183">
        <v>0</v>
      </c>
      <c r="R17" s="183">
        <v>0</v>
      </c>
      <c r="S17" s="183">
        <v>11</v>
      </c>
      <c r="T17" s="183">
        <v>64</v>
      </c>
      <c r="U17" s="183">
        <v>60</v>
      </c>
      <c r="V17" s="183">
        <v>15</v>
      </c>
      <c r="W17" s="183">
        <v>5</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64</v>
      </c>
      <c r="BA17" s="129">
        <f t="shared" si="14"/>
        <v>60</v>
      </c>
      <c r="BB17" s="129">
        <f t="shared" si="14"/>
        <v>15</v>
      </c>
      <c r="BC17" s="125">
        <f>IF(ISNUMBER(W17),W17," - ")</f>
        <v>5</v>
      </c>
      <c r="BD17" s="126">
        <f>IF(ISNUMBER(BA17/AZ17),BA17/AZ17," - ")</f>
        <v>0.9375</v>
      </c>
      <c r="BE17" s="127">
        <f>IF(ISNUMBER(BB17/BA17),BB17/BA17, " - ")</f>
        <v>0.25</v>
      </c>
      <c r="BF17" s="127">
        <f>IF(ISNUMBER(BC17/BA17),BC17/BA17, " - ")</f>
        <v>8.3333333333333329E-2</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397</v>
      </c>
      <c r="J18" s="184">
        <f t="shared" si="15"/>
        <v>758</v>
      </c>
      <c r="K18" s="184">
        <f t="shared" si="15"/>
        <v>800</v>
      </c>
      <c r="L18" s="184">
        <f t="shared" si="15"/>
        <v>321</v>
      </c>
      <c r="M18" s="184">
        <f t="shared" si="15"/>
        <v>136</v>
      </c>
      <c r="N18" s="184">
        <f t="shared" si="15"/>
        <v>356</v>
      </c>
      <c r="O18" s="184">
        <f t="shared" si="15"/>
        <v>13</v>
      </c>
      <c r="P18" s="184">
        <f t="shared" si="15"/>
        <v>34</v>
      </c>
      <c r="Q18" s="184">
        <f t="shared" si="15"/>
        <v>21</v>
      </c>
      <c r="R18" s="184">
        <f t="shared" si="15"/>
        <v>43</v>
      </c>
      <c r="S18" s="184">
        <f t="shared" si="15"/>
        <v>317</v>
      </c>
      <c r="T18" s="184">
        <f t="shared" si="15"/>
        <v>773</v>
      </c>
      <c r="U18" s="184">
        <f t="shared" si="15"/>
        <v>637</v>
      </c>
      <c r="V18" s="184">
        <f t="shared" si="15"/>
        <v>397</v>
      </c>
      <c r="W18" s="184">
        <f t="shared" si="15"/>
        <v>96</v>
      </c>
      <c r="X18" s="184">
        <f t="shared" si="15"/>
        <v>321</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317</v>
      </c>
      <c r="AZ18" s="184">
        <f>SUBTOTAL(9,AZ14:AZ17)</f>
        <v>773</v>
      </c>
      <c r="BA18" s="184">
        <f>SUBTOTAL(9,BA14:BA17)</f>
        <v>637</v>
      </c>
      <c r="BB18" s="184">
        <f>SUBTOTAL(9,BB14:BB17)</f>
        <v>397</v>
      </c>
      <c r="BC18" s="184">
        <f>SUBTOTAL(9,BC14:BC17)</f>
        <v>96</v>
      </c>
      <c r="BD18" s="205">
        <f>IF(ISNUMBER(BA18/AZ18),BA18/AZ18," - ")</f>
        <v>0.82406209573091849</v>
      </c>
      <c r="BE18" s="206">
        <f>IF(ISNUMBER(BB18/BA18),BB18/BA18, " - ")</f>
        <v>0.62323390894819464</v>
      </c>
      <c r="BF18" s="206">
        <f>IF(ISNUMBER(BC18/BA18),BC18/BA18, " - ")</f>
        <v>0.15070643642072212</v>
      </c>
      <c r="BG18" s="207">
        <f>IF(ISNUMBER((AY18+AZ18)/BA18),(AY18+AZ18)/BA18," - ")</f>
        <v>1.7111459968602827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644</v>
      </c>
      <c r="J19" s="134">
        <f t="shared" si="18"/>
        <v>1588</v>
      </c>
      <c r="K19" s="134">
        <f t="shared" si="18"/>
        <v>1578</v>
      </c>
      <c r="L19" s="134">
        <f t="shared" si="18"/>
        <v>639</v>
      </c>
      <c r="M19" s="134">
        <f t="shared" si="18"/>
        <v>395</v>
      </c>
      <c r="N19" s="134">
        <f t="shared" si="18"/>
        <v>679</v>
      </c>
      <c r="O19" s="134">
        <f t="shared" si="18"/>
        <v>357</v>
      </c>
      <c r="P19" s="134">
        <f t="shared" si="18"/>
        <v>230</v>
      </c>
      <c r="Q19" s="134">
        <f t="shared" si="18"/>
        <v>260</v>
      </c>
      <c r="R19" s="134">
        <f t="shared" si="18"/>
        <v>448</v>
      </c>
      <c r="S19" s="134">
        <f t="shared" si="18"/>
        <v>505</v>
      </c>
      <c r="T19" s="134">
        <f t="shared" si="18"/>
        <v>1491</v>
      </c>
      <c r="U19" s="134">
        <f t="shared" si="18"/>
        <v>1296</v>
      </c>
      <c r="V19" s="134">
        <f t="shared" si="18"/>
        <v>644</v>
      </c>
      <c r="W19" s="134">
        <f t="shared" si="18"/>
        <v>252</v>
      </c>
      <c r="X19" s="134">
        <f t="shared" si="18"/>
        <v>561</v>
      </c>
      <c r="Y19" s="134">
        <f t="shared" si="18"/>
        <v>17</v>
      </c>
      <c r="Z19" s="134">
        <f t="shared" si="18"/>
        <v>81</v>
      </c>
      <c r="AA19" s="134">
        <f t="shared" si="18"/>
        <v>78</v>
      </c>
      <c r="AB19" s="134">
        <f t="shared" si="18"/>
        <v>20</v>
      </c>
      <c r="AC19" s="134">
        <f t="shared" si="18"/>
        <v>0</v>
      </c>
      <c r="AD19" s="134">
        <f t="shared" si="18"/>
        <v>10</v>
      </c>
      <c r="AE19" s="134">
        <f t="shared" si="18"/>
        <v>10</v>
      </c>
      <c r="AF19" s="134">
        <f t="shared" si="18"/>
        <v>0</v>
      </c>
      <c r="AG19" s="134">
        <f t="shared" si="18"/>
        <v>14</v>
      </c>
      <c r="AH19" s="134">
        <f t="shared" si="18"/>
        <v>52</v>
      </c>
      <c r="AI19" s="134">
        <f t="shared" si="18"/>
        <v>49</v>
      </c>
      <c r="AJ19" s="134">
        <f t="shared" si="18"/>
        <v>17</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519</v>
      </c>
      <c r="AZ19" s="134">
        <f>SUBTOTAL(9,AZ9:AZ18)</f>
        <v>1543</v>
      </c>
      <c r="BA19" s="134">
        <f>SUBTOTAL(9,BA9:BA18)</f>
        <v>1345</v>
      </c>
      <c r="BB19" s="134">
        <f>SUBTOTAL(9,BB9:BB18)</f>
        <v>661</v>
      </c>
      <c r="BC19" s="135">
        <f>SUBTOTAL(9,BC9:BC18)</f>
        <v>340</v>
      </c>
      <c r="BD19" s="213">
        <f>IF(ISNUMBER(BA19/AZ19),BA19/AZ19," - ")</f>
        <v>0.87167854828256641</v>
      </c>
      <c r="BE19" s="210">
        <f>IF(ISNUMBER(BB19/BA19),BB19/BA19, " - ")</f>
        <v>0.49144981412639405</v>
      </c>
      <c r="BF19" s="210">
        <f>IF(ISNUMBER(BC19/BA19),BC19/BA19, " - ")</f>
        <v>0.25278810408921931</v>
      </c>
      <c r="BG19" s="135">
        <f>IF(ISNUMBER((AY19+AZ19)/BA19),(AY19+AZ19)/BA19," - ")</f>
        <v>1.5330855018587362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qX10YXAHMTbooCNAAVAqh3Hw0QmGQtTKLD1rBC2VymqP4hp7YCKLqy2Mm2ub8SliG+XJVR0yql9xWX3RuKDQ==" saltValue="5MeXyRn6aN+kWRNEr3TX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OXeSHW1xukg8WoxgvIv1ccVbo9KkceGnR3nIFpLWaPnCXFQkgMS6C9PUigHTY40pd9j4CJ8POn17qAonbL9Sw==" saltValue="+0iPNtsShQ9CY4DrMS6N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196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405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255</v>
      </c>
      <c r="BD12" s="229">
        <f>IF(ISNUMBER(Datos!N12),Datos!N12," - ")</f>
        <v>322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0.93929359823399561</v>
      </c>
      <c r="BH12" s="260">
        <f>IF(ISNUMBER(((IF(J_V="SI",Datos!L12/Datos!K12,(Datos!L12+Datos!AB12)/(Datos!K12+Datos!AA12)))*11)/factor_trimestre),((IF(J_V="SI",Datos!L12/Datos!K12,(Datos!L12+Datos!AB12)/(Datos!K12+Datos!AA12)))*11)/factor_trimestre," - ")</f>
        <v>4.3431257344300818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-9.5982142857142863E-2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196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239</v>
      </c>
      <c r="AD13" s="899">
        <f t="shared" si="1"/>
        <v>0</v>
      </c>
      <c r="AE13" s="899">
        <f t="shared" si="1"/>
        <v>0</v>
      </c>
      <c r="AF13" s="899">
        <f t="shared" si="1"/>
        <v>2</v>
      </c>
      <c r="AG13" s="899">
        <f t="shared" si="1"/>
        <v>0</v>
      </c>
      <c r="AH13" s="899">
        <f t="shared" si="1"/>
        <v>20</v>
      </c>
      <c r="AI13" s="899">
        <f t="shared" si="1"/>
        <v>0</v>
      </c>
      <c r="AJ13" s="899">
        <f t="shared" si="1"/>
        <v>0</v>
      </c>
      <c r="AK13" s="899">
        <f t="shared" si="1"/>
        <v>0</v>
      </c>
      <c r="AL13" s="899">
        <f t="shared" si="1"/>
        <v>0</v>
      </c>
      <c r="AM13" s="899">
        <f t="shared" si="1"/>
        <v>405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259</v>
      </c>
      <c r="BD13" s="899">
        <f t="shared" si="1"/>
        <v>323</v>
      </c>
      <c r="BE13" s="899">
        <f t="shared" si="1"/>
        <v>0</v>
      </c>
      <c r="BF13" s="899">
        <f t="shared" si="1"/>
        <v>0</v>
      </c>
      <c r="BG13" s="899">
        <f>IF(ISNUMBER(Datos!K13/Datos!J13),Datos!K13/Datos!J13," - ")</f>
        <v>0.9373493975903614</v>
      </c>
      <c r="BH13" s="903">
        <f>IF(ISNUMBER(((Datos!L13/Datos!K13)*11)/factor_trimestre),((Datos!L13/Datos!K13)*11)/factor_trimestre," - ")</f>
        <v>4.4961439588688945</v>
      </c>
      <c r="BI13" s="899">
        <f>IF(ISNUMBER('Resol  Asuntos'!D13/NºAsuntos!G13),'Resol  Asuntos'!D13/NºAsuntos!G13," - ")</f>
        <v>0.30257009345794394</v>
      </c>
      <c r="BJ13" s="899" t="str">
        <f>IF(ISNUMBER(Datos!CI13/Datos!CJ13),Datos!CI13/Datos!CJ13," - ")</f>
        <v xml:space="preserve"> - </v>
      </c>
      <c r="BK13" s="899">
        <f>SUBTOTAL(9,BK8:BK12)</f>
        <v>0</v>
      </c>
      <c r="BL13" s="899">
        <f>IF(ISNUMBER((I13-AB13+L13)/(F13)),(I13-AB13+L13)/(F13)," - ")</f>
        <v>-2.5</v>
      </c>
      <c r="BM13" s="904">
        <f>SUBTOTAL(9,BM9:BM12)</f>
        <v>-9.5982142857142863E-2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348</v>
      </c>
      <c r="G16" s="598">
        <f>IF(ISNUMBER(IF(D_I="SI",Datos!I16,Datos!I16+Datos!AC16)),IF(D_I="SI",Datos!I16,Datos!I16+Datos!AC16)," - ")</f>
        <v>382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736</v>
      </c>
      <c r="AC16" s="226">
        <f>IF(ISNUMBER(Datos!Q16),Datos!Q16," - ")</f>
        <v>21</v>
      </c>
      <c r="AD16" s="334"/>
      <c r="AE16" s="484"/>
      <c r="AF16" s="596">
        <f>IF(ISNUMBER(IF(D_I="SI",Datos!L16,Datos!L16+Datos!AF16)),IF(D_I="SI",Datos!L16,Datos!L16+Datos!AF16)," - ")</f>
        <v>306</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129</v>
      </c>
      <c r="BD16" s="229">
        <f>IF(ISNUMBER(Datos!N16),Datos!N16," - ")</f>
        <v>313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1.0605187319884726</v>
      </c>
      <c r="BH16" s="260">
        <f>IF(ISNUMBER(((IF(D_I="SI",Datos!L16/Datos!K16,(Datos!L16+Datos!AF16)/(Datos!K16+Datos!AE16)))*11)/factor_trimestre),((IF(D_I="SI",Datos!L16/Datos!K16,(Datos!L16+Datos!AF16)/(Datos!K16+Datos!AE16)))*11)/factor_trimestre," - ")</f>
        <v>4.5733695652173916</v>
      </c>
      <c r="BI16" s="243">
        <f>IF(ISNUMBER('Resol  Asuntos'!D16/NºAsuntos!G16),'Resol  Asuntos'!D16/NºAsuntos!G16," - ")</f>
        <v>0.17527173913043478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2.578125</v>
      </c>
      <c r="BI17" s="243">
        <f>IF(ISNUMBER('Resol  Asuntos'!D17/NºAsuntos!G17),'Resol  Asuntos'!D17/NºAsuntos!G17," - ")</f>
        <v>0.109375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348</v>
      </c>
      <c r="G18" s="898">
        <f>SUBTOTAL(9,G15:G17)</f>
        <v>397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800</v>
      </c>
      <c r="AC18" s="899">
        <f t="shared" si="4"/>
        <v>21</v>
      </c>
      <c r="AD18" s="899">
        <f t="shared" si="4"/>
        <v>0</v>
      </c>
      <c r="AE18" s="899">
        <f t="shared" si="4"/>
        <v>0</v>
      </c>
      <c r="AF18" s="899">
        <f t="shared" si="4"/>
        <v>321</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356</v>
      </c>
      <c r="BE18" s="899">
        <f t="shared" si="4"/>
        <v>0</v>
      </c>
      <c r="BF18" s="899">
        <f t="shared" si="4"/>
        <v>0</v>
      </c>
      <c r="BG18" s="899">
        <f>IF(ISNUMBER(Datos!K18/Datos!J18),Datos!K18/Datos!J18," - ")</f>
        <v>1.0554089709762533</v>
      </c>
      <c r="BH18" s="903">
        <f>IF(ISNUMBER(((Datos!L18/Datos!K18)*11)/factor_trimestre),((Datos!L18/Datos!K18)*11)/factor_trimestre," - ")</f>
        <v>4.4137500000000003</v>
      </c>
      <c r="BI18" s="899">
        <f>SUBTOTAL(9,BI15:BI17)</f>
        <v>0.28464673913043481</v>
      </c>
      <c r="BJ18" s="899">
        <f>SUBTOTAL(9,BJ15:BJ17)</f>
        <v>0</v>
      </c>
      <c r="BK18" s="899">
        <f>SUBTOTAL(9,BK15:BK17)</f>
        <v>0</v>
      </c>
      <c r="BL18" s="899">
        <f>IF(ISNUMBER((I18-AB18+L18)/(F18)),(I18-AB18+L18)/(F18)," - ")</f>
        <v>-2.2988505747126435</v>
      </c>
      <c r="BM18" s="905">
        <f>IF(ISNUMBER((Datos!P18-Datos!Q18)/(Datos!R18-Datos!P18+Datos!Q18)),(Datos!P18-Datos!Q18)/(Datos!R18-Datos!P18+Datos!Q18)," - ")</f>
        <v>0.43333333333333335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350</v>
      </c>
      <c r="G19" s="820">
        <f t="shared" si="6"/>
        <v>399</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230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805</v>
      </c>
      <c r="AC19" s="821">
        <f t="shared" si="7"/>
        <v>260</v>
      </c>
      <c r="AD19" s="821">
        <f t="shared" si="7"/>
        <v>0</v>
      </c>
      <c r="AE19" s="821">
        <f t="shared" si="7"/>
        <v>0</v>
      </c>
      <c r="AF19" s="828">
        <f t="shared" si="7"/>
        <v>323</v>
      </c>
      <c r="AG19" s="828">
        <f t="shared" si="7"/>
        <v>0</v>
      </c>
      <c r="AH19" s="828">
        <f t="shared" si="7"/>
        <v>20</v>
      </c>
      <c r="AI19" s="828">
        <f t="shared" si="7"/>
        <v>0</v>
      </c>
      <c r="AJ19" s="821">
        <f t="shared" si="7"/>
        <v>0</v>
      </c>
      <c r="AK19" s="828">
        <f t="shared" si="7"/>
        <v>0</v>
      </c>
      <c r="AL19" s="828">
        <f t="shared" si="7"/>
        <v>0</v>
      </c>
      <c r="AM19" s="828">
        <f t="shared" si="7"/>
        <v>448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395</v>
      </c>
      <c r="BD19" s="820">
        <f t="shared" si="7"/>
        <v>679</v>
      </c>
      <c r="BE19" s="820">
        <f t="shared" si="7"/>
        <v>0</v>
      </c>
      <c r="BF19" s="830">
        <f t="shared" si="7"/>
        <v>0</v>
      </c>
      <c r="BG19" s="915">
        <f>IF(ISNUMBER(Datos!K19/Datos!J19),Datos!K19/Datos!J19," - ")</f>
        <v>0.99370277078085645</v>
      </c>
      <c r="BH19" s="915">
        <f>IF(ISNUMBER(((Datos!L19/Datos!K19)*11)/factor_trimestre),((Datos!L19/Datos!K19)*11)/factor_trimestre," - ")</f>
        <v>4.4543726235741445</v>
      </c>
      <c r="BI19" s="813">
        <f>IF(ISNUMBER(Datos!J19/Datos!I19),Datos!J19/Datos!I19," - ")</f>
        <v>2.4658385093167703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-2.2999999999999998</v>
      </c>
      <c r="BM19" s="889">
        <f>IF(ISNUMBER((Datos!P19-Datos!Q19+R19)/(Datos!R19-Datos!P19+Datos!Q19-R19)),(Datos!P19-Datos!Q19+R19)/(Datos!R19-Datos!P19+Datos!Q19-R19)," - ")</f>
        <v>-6.2761506276150625E-2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199.76319313961051</v>
      </c>
      <c r="G21" s="552">
        <f>IF(ISNUMBER(STDEV(G8:G18)),STDEV(G8:G18),"-")</f>
        <v>210.00309521528487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408.47949764951483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112.50896260594827</v>
      </c>
      <c r="BD21" s="551"/>
      <c r="BE21" s="551">
        <f>IF(ISNUMBER(STDEV(BE8:BE18)),STDEV(BE8:BE18),"-")</f>
        <v>0</v>
      </c>
      <c r="BF21" s="556">
        <f>IF(ISNUMBER(STDEV(BF8:BF18)),STDEV(BF8:BF18),"-")</f>
        <v>0</v>
      </c>
      <c r="BG21" s="775">
        <f>IF(ISNUMBER(STDEV(BG8:BG18)),STDEV(BG8:BG18),"-")</f>
        <v>5.35422022291306E-2</v>
      </c>
      <c r="BH21" s="776">
        <f>IF(ISNUMBER(STDEV(BH8:BH18)),STDEV(BH8:BH18),"-")</f>
        <v>0.76651033504232746</v>
      </c>
      <c r="BI21" s="249">
        <f>IF(ISNUMBER(STDEV(BI8:BI18)),STDEV(BI8:BI18),"-")</f>
        <v>9.1686020004822705E-2</v>
      </c>
      <c r="BJ21" s="230" t="str">
        <f>IF(ISNUMBER(BL21/BM21),BL21/BM21," - ")</f>
        <v xml:space="preserve"> - </v>
      </c>
      <c r="BK21" s="575"/>
      <c r="BL21" s="559">
        <f>IF(ISNUMBER(STDEV(BL8:BL18)),STDEV(BL8:BL18),"-")</f>
        <v>0.14223412265246657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NlsY7aRpB1RtY0cztT6nDJNsFEfDjxdZ1LkHk9jNeD/rF4Y0f491lU0pi6W+cSJUfVi0/6OGCgyGcXuXsh4QBw==" saltValue="fxeUQ0IpKLMhex3s6aZ2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CIUDAD RODRIGO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4.4000000000000004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239</v>
      </c>
      <c r="AA12" s="332" t="str">
        <f>IF(ISNUMBER(IF(J_V="SI",Datos!L12,Datos!L12+Datos!AB12)-IF(Monitorios="SI",Datos!CD12,0)),
                          IF(J_V="SI",Datos!L12,Datos!L12+Datos!AB12)-IF(Monitorios="SI",Datos!CD12,0),
                          " - ")</f>
        <v xml:space="preserve"> - </v>
      </c>
      <c r="AB12" s="334"/>
      <c r="AC12" s="334"/>
      <c r="AD12" s="484"/>
      <c r="AE12" s="484">
        <f>IF(ISNUMBER(Datos!R12),Datos!R12," - ")</f>
        <v>405</v>
      </c>
      <c r="AF12" s="229" t="str">
        <f>IF(ISNUMBER(Datos!BV12),Datos!BV12," - ")</f>
        <v xml:space="preserve"> - </v>
      </c>
      <c r="AG12" s="225" t="str">
        <f>IF(ISNUMBER(Datos!DV12),Datos!DV12," - ")</f>
        <v xml:space="preserve"> - </v>
      </c>
      <c r="AH12" s="298"/>
      <c r="AI12" s="227"/>
      <c r="AJ12" s="225">
        <f>IF(ISNUMBER(Datos!M12),Datos!M12," - ")</f>
        <v>255</v>
      </c>
      <c r="AK12" s="229">
        <f>IF(ISNUMBER(Datos!N12),Datos!N12," - ")</f>
        <v>322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4.3431257344300818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-9.5982142857142863E-2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239</v>
      </c>
      <c r="AA13" s="900">
        <f t="shared" si="2"/>
        <v>2</v>
      </c>
      <c r="AB13" s="900">
        <f t="shared" si="2"/>
        <v>0</v>
      </c>
      <c r="AC13" s="900">
        <f t="shared" si="2"/>
        <v>0</v>
      </c>
      <c r="AD13" s="900">
        <f t="shared" si="2"/>
        <v>0</v>
      </c>
      <c r="AE13" s="900">
        <f t="shared" si="2"/>
        <v>405</v>
      </c>
      <c r="AF13" s="908">
        <f t="shared" si="2"/>
        <v>0</v>
      </c>
      <c r="AG13" s="908">
        <f t="shared" si="2"/>
        <v>0</v>
      </c>
      <c r="AH13" s="908">
        <f t="shared" si="2"/>
        <v>0</v>
      </c>
      <c r="AI13" s="908">
        <f t="shared" si="2"/>
        <v>0</v>
      </c>
      <c r="AJ13" s="908">
        <f t="shared" si="2"/>
        <v>259</v>
      </c>
      <c r="AK13" s="908">
        <f t="shared" si="2"/>
        <v>323</v>
      </c>
      <c r="AL13" s="908">
        <f t="shared" si="2"/>
        <v>0</v>
      </c>
      <c r="AM13" s="908">
        <f t="shared" si="2"/>
        <v>0</v>
      </c>
      <c r="AN13" s="908">
        <f t="shared" si="2"/>
        <v>0</v>
      </c>
      <c r="AO13" s="904">
        <f>IF(ISNUMBER(((NºAsuntos!I13/NºAsuntos!G13)*11)/factor_trimestre),((NºAsuntos!I13/NºAsuntos!G13)*11)/factor_trimestre," - ")</f>
        <v>4.3434579439252339</v>
      </c>
      <c r="AP13" s="910" t="str">
        <f>IF(ISNUMBER(Datos!CI13/Datos!CJ13),Datos!CI13/Datos!CJ13," - ")</f>
        <v xml:space="preserve"> - </v>
      </c>
      <c r="AQ13" s="928">
        <f t="shared" ref="AQ13:AV13" si="3">SUBTOTAL(9,AQ9:AQ12)</f>
        <v>0</v>
      </c>
      <c r="AR13" s="928">
        <f t="shared" si="3"/>
        <v>-9.5982142857142863E-2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348</v>
      </c>
      <c r="G16" s="225">
        <f>IF(ISNUMBER(IF(D_I="SI",Datos!I16,Datos!I16+Datos!AC16)),IF(D_I="SI",Datos!I16,Datos!I16+Datos!AC16)," - ")</f>
        <v>382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736</v>
      </c>
      <c r="Z16" s="619">
        <f>IF(ISNUMBER(Datos!Q16),Datos!Q16," - ")</f>
        <v>21</v>
      </c>
      <c r="AA16" s="332">
        <f>IF(ISNUMBER(IF(D_I="SI",Datos!L16,Datos!L16+Datos!AF16)),IF(D_I="SI",Datos!L16,Datos!L16+Datos!AF16)," - ")</f>
        <v>306</v>
      </c>
      <c r="AB16" s="334"/>
      <c r="AC16" s="334"/>
      <c r="AD16" s="484"/>
      <c r="AE16" s="484">
        <f>IF(ISNUMBER(Datos!R16),Datos!R16," - ")</f>
        <v>43</v>
      </c>
      <c r="AF16" s="229" t="str">
        <f>IF(ISNUMBER(Datos!BV16),Datos!BV16," - ")</f>
        <v xml:space="preserve"> - </v>
      </c>
      <c r="AG16" s="225"/>
      <c r="AH16" s="298"/>
      <c r="AI16" s="227"/>
      <c r="AJ16" s="225">
        <f>IF(ISNUMBER(Datos!M16),Datos!M16," - ")</f>
        <v>129</v>
      </c>
      <c r="AK16" s="229">
        <f>IF(ISNUMBER(Datos!N16),Datos!N16," - ")</f>
        <v>313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4.5733695652173916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2.578125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348</v>
      </c>
      <c r="G18" s="898">
        <f>SUBTOTAL(9,G15:G17)</f>
        <v>397</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800</v>
      </c>
      <c r="Z18" s="932">
        <f t="shared" si="5"/>
        <v>21</v>
      </c>
      <c r="AA18" s="932">
        <f t="shared" si="5"/>
        <v>321</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136</v>
      </c>
      <c r="AK18" s="932">
        <f t="shared" si="5"/>
        <v>356</v>
      </c>
      <c r="AL18" s="932">
        <f t="shared" si="5"/>
        <v>0</v>
      </c>
      <c r="AM18" s="932">
        <f t="shared" si="5"/>
        <v>0</v>
      </c>
      <c r="AN18" s="932">
        <f t="shared" si="5"/>
        <v>0</v>
      </c>
      <c r="AO18" s="934">
        <f>IF(ISNUMBER(((NºAsuntos!I18/NºAsuntos!G18)*11)/factor_trimestre),((NºAsuntos!I18/NºAsuntos!G18)*11)/factor_trimestre," - ")</f>
        <v>4.4137500000000003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350</v>
      </c>
      <c r="G19" s="820">
        <f t="shared" si="7"/>
        <v>399</v>
      </c>
      <c r="H19" s="821">
        <f t="shared" si="7"/>
        <v>0</v>
      </c>
      <c r="I19" s="820">
        <f t="shared" si="7"/>
        <v>0</v>
      </c>
      <c r="J19" s="822">
        <f t="shared" si="7"/>
        <v>0</v>
      </c>
      <c r="K19" s="820">
        <f t="shared" si="7"/>
        <v>0</v>
      </c>
      <c r="L19" s="823">
        <f t="shared" si="7"/>
        <v>0</v>
      </c>
      <c r="M19" s="820">
        <f t="shared" si="7"/>
        <v>0</v>
      </c>
      <c r="N19" s="821">
        <f t="shared" si="7"/>
        <v>230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805</v>
      </c>
      <c r="Z19" s="827">
        <f t="shared" si="8"/>
        <v>260</v>
      </c>
      <c r="AA19" s="828">
        <f t="shared" si="8"/>
        <v>323</v>
      </c>
      <c r="AB19" s="828">
        <f t="shared" si="8"/>
        <v>0</v>
      </c>
      <c r="AC19" s="828">
        <f t="shared" si="8"/>
        <v>0</v>
      </c>
      <c r="AD19" s="829">
        <f t="shared" si="8"/>
        <v>0</v>
      </c>
      <c r="AE19" s="829">
        <f t="shared" si="8"/>
        <v>448</v>
      </c>
      <c r="AF19" s="830">
        <f t="shared" si="8"/>
        <v>0</v>
      </c>
      <c r="AG19" s="831">
        <f t="shared" si="8"/>
        <v>0</v>
      </c>
      <c r="AH19" s="832">
        <f t="shared" si="8"/>
        <v>0</v>
      </c>
      <c r="AI19" s="830">
        <f t="shared" si="8"/>
        <v>0</v>
      </c>
      <c r="AJ19" s="820">
        <f t="shared" si="8"/>
        <v>395</v>
      </c>
      <c r="AK19" s="820">
        <f t="shared" si="8"/>
        <v>679</v>
      </c>
      <c r="AL19" s="820">
        <f t="shared" si="8"/>
        <v>0</v>
      </c>
      <c r="AM19" s="833">
        <f t="shared" si="8"/>
        <v>0</v>
      </c>
      <c r="AN19" s="823">
        <f>IF(ISNUMBER(Datos!K19/Datos!J19),Datos!K19/Datos!J19," - ")</f>
        <v>0.99370277078085645</v>
      </c>
      <c r="AO19" s="823">
        <f>IF(ISNUMBER(FIND("06",Criterios!A8,1)),(IF(ISNUMBER(((Datos!R19/Datos!Q19)*11)/factor_trimestre),((Datos!R19/Datos!Q19)*11)/factor_trimestre," - ")),(IF(ISNUMBER(((Datos!L19/Datos!K19)*11)/factor_trimestre),((Datos!L19/Datos!K19)*11)/factor_trimestre," - ")))</f>
        <v>4.4543726235741445</v>
      </c>
      <c r="AP19" s="834" t="str">
        <f>IF(ISNUMBER(Datos!CI19/Datos!CJ19),Datos!CI19/Datos!CJ19," - ")</f>
        <v xml:space="preserve"> - </v>
      </c>
      <c r="AQ19" s="834">
        <f>IF(OR(ISNUMBER(FIND("01",Criterios!A8,1)),ISNUMBER(FIND("02",Criterios!A8,1)),ISNUMBER(FIND("03",Criterios!A8,1)),ISNUMBER(FIND("04",Criterios!A8,1))),(J19-Y19+K19)/(F19-K19),(I19-Y19+K19)/(F19-K19))</f>
        <v>-2.2999999999999998</v>
      </c>
      <c r="AR19" s="834">
        <f>IF(ISNUMBER((Datos!P19-Datos!Q19+O19)/(Datos!R19-Datos!P19+Datos!Q19-O19)),(Datos!P19-Datos!Q19+O19)/(Datos!R19-Datos!P19+Datos!Q19-O19)," - ")</f>
        <v>-6.2761506276150625E-2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199.76319313961051</v>
      </c>
      <c r="G21" s="552">
        <f>IF(ISNUMBER(STDEV(G8:G18)),STDEV(G8:G18),"-")</f>
        <v>210.00309521528487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112.50896260594827</v>
      </c>
      <c r="AK21" s="252"/>
      <c r="AL21" s="252">
        <f>IF(ISNUMBER(STDEV(AL8:AL18)),STDEV(AL8:AL18),"-")</f>
        <v>0</v>
      </c>
      <c r="AM21" s="254">
        <f>IF(ISNUMBER(STDEV(AM8:AM18)),STDEV(AM8:AM18),"-")</f>
        <v>0</v>
      </c>
      <c r="AN21" s="539">
        <f>IF(ISNUMBER(STDEV(AN8:AN18)),STDEV(AN8:AN18),"-")</f>
        <v>0</v>
      </c>
      <c r="AO21" s="540">
        <f>IF(ISNUMBER(STDEV(AO8:AO18)),STDEV(AO8:AO18),"-")</f>
        <v>0.75452707335517011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Iez4L7Sk8xk91B0cbLx9B3miAiNPwey3T29cs2mAp9QBqJLHOfkvIhazopYyKmGgfnGpFcFgvLvKeSHzTS0mg==" saltValue="mdvY/k3P/TBFD5qL3eeJ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nFp3UWJduAVYnAFi+c7S40R80qRj9rmGxZS1r4mMdoud8dEir2LRiqZOSAZVe18rhvfN4mfzdwP9AXb05CtNg==" saltValue="1NcKZlr7f5EtiD9Dz3bA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1ur3VIw2oN9c8wdRia7NgCInMqRMD+cQHbcFMGsoD5vbuRuc/zi3XTghcrhzjTNAp022O4+H5MZLiUED6e/YA==" saltValue="kdfNT33qDRfZqg802iom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0.30257009345794394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0.21394936486835961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fVG5jj6rtanZbQmiEEP5hPbAtEio0sKYU/b9lMnHsknMLynxMpH2C1KRhx+sc3S390WLWEjLdtN2aPnFzzagw==" saltValue="GxuHCtBHSAhmwpXXcnol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MkqzU/dR1dEQ8nhlXj0XBUkm0nKRY9vcOWHMV4kWwEp0G4q44au0ASZL45vVKTwpAHIT2MWgK2CAavn1Sf0ww==" saltValue="wzCRliGyIMj/FXmk0dvn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CIUDAD RODRIGO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5</v>
      </c>
      <c r="F10" s="404">
        <f>IF(ISNUMBER(E10/B10),E10/B10," - ")</f>
        <v>5</v>
      </c>
      <c r="G10" s="403">
        <f>IF(ISNUMBER(Datos!K10),Datos!K10," - ")</f>
        <v>5</v>
      </c>
      <c r="H10" s="404">
        <f>IF(ISNUMBER(G10/B10),G10/B10," - ")</f>
        <v>5</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262</v>
      </c>
      <c r="D12" s="404">
        <f>IF(ISNUMBER(C12/Datos!BH12),C12/Datos!BH12," - ")</f>
        <v>131</v>
      </c>
      <c r="E12" s="403">
        <f>IF(ISNUMBER(IF(J_V="SI",Datos!J12,Datos!J12+Datos!Z12)),IF(J_V="SI",Datos!J12,Datos!J12+Datos!Z12)," - ")</f>
        <v>906</v>
      </c>
      <c r="F12" s="404">
        <f>IF(ISNUMBER(E12/B12),E12/B12," - ")</f>
        <v>453</v>
      </c>
      <c r="G12" s="403">
        <f>IF(ISNUMBER(IF(J_V="SI",Datos!K12,Datos!K12+Datos!AA12)),IF(J_V="SI",Datos!K12,Datos!K12+Datos!AA12)," - ")</f>
        <v>851</v>
      </c>
      <c r="H12" s="404">
        <f>IF(ISNUMBER(G12/B12),G12/B12," - ")</f>
        <v>425.5</v>
      </c>
      <c r="I12" s="403">
        <f>IF(ISNUMBER(IF(J_V="SI",Datos!L12,Datos!L12+Datos!AB12)),IF(J_V="SI",Datos!L12,Datos!L12+Datos!AB12)," - ")</f>
        <v>336</v>
      </c>
      <c r="J12" s="404">
        <f>IF(ISNUMBER(I12/B12),I12/B12," - ")</f>
        <v>168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264</v>
      </c>
      <c r="D13" s="850" t="str">
        <f>IF(ISNUMBER(C13/Datos!BI13),C13/Datos!BI13," - ")</f>
        <v xml:space="preserve"> - </v>
      </c>
      <c r="E13" s="849">
        <f>SUBTOTAL(9,E8:E12)</f>
        <v>911</v>
      </c>
      <c r="F13" s="850">
        <f>IF(ISNUMBER(E13/B13),E13/B13," - ")</f>
        <v>455.5</v>
      </c>
      <c r="G13" s="849">
        <f>SUBTOTAL(9,G8:G12)</f>
        <v>856</v>
      </c>
      <c r="H13" s="850">
        <f>IF(ISNUMBER(G13/B13),G13/B13," - ")</f>
        <v>428</v>
      </c>
      <c r="I13" s="849">
        <f>SUBTOTAL(9,I8:I12)</f>
        <v>338</v>
      </c>
      <c r="J13" s="850">
        <f>IF(ISNUMBER(I13/B13),I13/B13," - ")</f>
        <v>169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382</v>
      </c>
      <c r="D16" s="404">
        <f>IF(ISNUMBER(C16/Datos!BH16),C16/Datos!BH16," - ")</f>
        <v>191</v>
      </c>
      <c r="E16" s="403">
        <f>IF(ISNUMBER(IF(D_I="SI",Datos!J16,Datos!J16+Datos!AD16)),IF(D_I="SI",Datos!J16,Datos!J16+Datos!AD16)," - ")</f>
        <v>694</v>
      </c>
      <c r="F16" s="404">
        <f>IF(ISNUMBER(E16/B16),E16/B16," - ")</f>
        <v>347</v>
      </c>
      <c r="G16" s="403">
        <f>IF(ISNUMBER(IF(D_I="SI",Datos!K16,Datos!K16+Datos!AE16)),IF(D_I="SI",Datos!K16,Datos!K16+Datos!AE16)," - ")</f>
        <v>736</v>
      </c>
      <c r="H16" s="404">
        <f>IF(ISNUMBER(G16/B16),G16/B16," - ")</f>
        <v>368</v>
      </c>
      <c r="I16" s="403">
        <f>IF(ISNUMBER(IF(D_I="SI",Datos!L16,Datos!L16+Datos!AF16)),IF(D_I="SI",Datos!L16,Datos!L16+Datos!AF16)," - ")</f>
        <v>306</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64</v>
      </c>
      <c r="F17" s="404">
        <f>IF(ISNUMBER(E17/B17),E17/B17," - ")</f>
        <v>64</v>
      </c>
      <c r="G17" s="403">
        <f>IF(ISNUMBER(IF(D_I="SI",Datos!K17,Datos!K17+Datos!AE17)),IF(D_I="SI",Datos!K17,Datos!K17+Datos!AE17)," - ")</f>
        <v>64</v>
      </c>
      <c r="H17" s="404">
        <f>IF(ISNUMBER(G17/B17),G17/B17," - ")</f>
        <v>64</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397</v>
      </c>
      <c r="D18" s="850" t="str">
        <f>IF(ISNUMBER(C18/Datos!BI18),C18/Datos!BI18," - ")</f>
        <v xml:space="preserve"> - </v>
      </c>
      <c r="E18" s="849">
        <f>SUBTOTAL(9,E14:E17)</f>
        <v>758</v>
      </c>
      <c r="F18" s="850">
        <f>IF(ISNUMBER(E18/B18),E18/B18," - ")</f>
        <v>379</v>
      </c>
      <c r="G18" s="849">
        <f>SUBTOTAL(9,G14:G17)</f>
        <v>800</v>
      </c>
      <c r="H18" s="850">
        <f>IF(ISNUMBER(G18/B18),G18/B18," - ")</f>
        <v>400</v>
      </c>
      <c r="I18" s="849">
        <f>SUBTOTAL(9,I14:I17)</f>
        <v>321</v>
      </c>
      <c r="J18" s="850">
        <f>IF(ISNUMBER(I18/B18),I18/B18," - ")</f>
        <v>160.5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661</v>
      </c>
      <c r="D19" s="795" t="str">
        <f>IF(ISNUMBER(C19/Datos!BI19),C19/Datos!BI19," - ")</f>
        <v xml:space="preserve"> - </v>
      </c>
      <c r="E19" s="794">
        <f>SUBTOTAL(9,E9:E18)</f>
        <v>1669</v>
      </c>
      <c r="F19" s="795">
        <f>IF(ISNUMBER(E19/B19),E19/B19," - ")</f>
        <v>834.5</v>
      </c>
      <c r="G19" s="794">
        <f>SUBTOTAL(9,G9:G18)</f>
        <v>1656</v>
      </c>
      <c r="H19" s="795">
        <f>IF(ISNUMBER(G19/B19),G19/B19," - ")</f>
        <v>828</v>
      </c>
      <c r="I19" s="794">
        <f>SUBTOTAL(9,I9:I18)</f>
        <v>659</v>
      </c>
      <c r="J19" s="795">
        <f>IF(ISNUMBER(I19/B19),I19/B19," - ")</f>
        <v>329.5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kqBm9+698OteOG7QotdMHI3fk5JfMsYiiknRf4W3HO91taCurChElj+5EW9Cn83riR5L6l1cz2XrIfN67pzCQ==" saltValue="C06STXhKfbHZ/vQiDQor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255</v>
      </c>
      <c r="AM12" s="690">
        <f>IF(ISNUMBER(Datos!N12+DatosP!N16),Datos!N12+DatosP!N16," - ")</f>
        <v>322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4.3431257344300818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-9.5982142857142863E-2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239</v>
      </c>
      <c r="AE13" s="939">
        <f t="shared" si="1"/>
        <v>0</v>
      </c>
      <c r="AF13" s="939">
        <f t="shared" si="1"/>
        <v>2</v>
      </c>
      <c r="AG13" s="939">
        <f t="shared" si="1"/>
        <v>0</v>
      </c>
      <c r="AH13" s="939">
        <f t="shared" si="1"/>
        <v>405</v>
      </c>
      <c r="AI13" s="939">
        <f t="shared" si="1"/>
        <v>0</v>
      </c>
      <c r="AJ13" s="939">
        <f t="shared" si="1"/>
        <v>0</v>
      </c>
      <c r="AK13" s="939">
        <f t="shared" si="1"/>
        <v>0</v>
      </c>
      <c r="AL13" s="939">
        <f t="shared" si="1"/>
        <v>259</v>
      </c>
      <c r="AM13" s="939">
        <f t="shared" si="1"/>
        <v>323</v>
      </c>
      <c r="AN13" s="939">
        <f t="shared" si="1"/>
        <v>0</v>
      </c>
      <c r="AO13" s="939">
        <f t="shared" si="1"/>
        <v>0</v>
      </c>
      <c r="AP13" s="944">
        <f>IF(ISNUMBER(((Datos!L13/Datos!K13)*11)/factor_trimestre),((Datos!L13/Datos!K13)*11)/factor_trimestre," - ")</f>
        <v>4.4961439588688945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v>
      </c>
      <c r="AU13" s="939" t="str">
        <f>IF(ISNUMBER((DatosP!#REF!-DatosP!#REF!+DatosP!#REF!)/(DatosP!#REF!+DatosP!#REF!-DatosP!#REF!-DatosP!#REF!)),(DatosP!#REF!-DatosP!#REF!+DatosP!#REF!)/(DatosP!#REF!+DatosP!#REF!-DatosP!#REF!-DatosP!#REF!)," - ")</f>
        <v xml:space="preserve"> - </v>
      </c>
      <c r="AV13" s="945">
        <f>SUBTOTAL(9,AV9:AV12)</f>
        <v>-9.5982142857142863E-2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4.4137500000000003</v>
      </c>
      <c r="AQ18" s="944">
        <f>IF(ISNUMBER(((Datos!M18/Datos!L18)*11)/factor_trimestre),((Datos!M18/Datos!L18)*11)/factor_trimestre," - ")</f>
        <v>4.6604361370716507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0.43333333333333335</v>
      </c>
      <c r="AW18" s="946">
        <f>IF(ISNUMBER((Datos!Q18-Datos!R18)/(Datos!S18-Datos!Q18+Datos!R18)),(Datos!Q18-Datos!R18)/(Datos!S18-Datos!Q18+Datos!R18)," - ")</f>
        <v>-6.4896755162241887E-2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239</v>
      </c>
      <c r="AE19" s="957">
        <f t="shared" si="5"/>
        <v>0</v>
      </c>
      <c r="AF19" s="958">
        <f t="shared" si="5"/>
        <v>2</v>
      </c>
      <c r="AG19" s="958">
        <f t="shared" si="5"/>
        <v>0</v>
      </c>
      <c r="AH19" s="958">
        <f t="shared" si="5"/>
        <v>405</v>
      </c>
      <c r="AI19" s="958">
        <f t="shared" si="5"/>
        <v>0</v>
      </c>
      <c r="AJ19" s="959">
        <f t="shared" si="5"/>
        <v>0</v>
      </c>
      <c r="AK19" s="959">
        <f t="shared" si="5"/>
        <v>0</v>
      </c>
      <c r="AL19" s="951">
        <f t="shared" si="5"/>
        <v>259</v>
      </c>
      <c r="AM19" s="951">
        <f t="shared" si="5"/>
        <v>323</v>
      </c>
      <c r="AN19" s="951">
        <f t="shared" si="5"/>
        <v>0</v>
      </c>
      <c r="AO19" s="951">
        <f t="shared" si="5"/>
        <v>0</v>
      </c>
      <c r="AP19" s="951">
        <f>IF(ISNUMBER(((Datos!L19/Datos!K19)*11)/factor_trimestre),((Datos!L19/Datos!K19)*11)/factor_trimestre," - ")</f>
        <v>4.4543726235741445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-6.2761506276150625E-2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147.24243047889874</v>
      </c>
      <c r="AM21" s="736"/>
      <c r="AN21" s="736">
        <f>IF(ISNUMBER(STDEV(AN8:AN18)),STDEV(AN8:AN18),"-")</f>
        <v>0</v>
      </c>
      <c r="AO21" s="742">
        <f>IF(ISNUMBER(STDEV(AO8:AO18)),STDEV(AO8:AO18),"-")</f>
        <v>0</v>
      </c>
      <c r="AP21" s="779">
        <f>IF(ISNUMBER(STDEV(AP8:AP18)),STDEV(AP8:AP18),"-")</f>
        <v>6.3152285368311301E-2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liPPOYuuL5Ee9x6Yj+Mf57nx9k3MYBe9vgn1AkHlZiaLHRuRTl4ksZyz5PSjPn9AC61NNUdm0x0bMQU3fvBw==" saltValue="MTbi+yZTJk8g6kTFupj4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CIUDAD RODRIGO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WyeAbDX1P+cvJ99Q3zGsZYUSxbE3dUWOdMx1/MNK4L/oKxMqtMNQskeiZwAD1Wbk9qiUEMDiGurHOdgRaM85w==" saltValue="tNJ9RcvP01pMEtyBkLej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CIUDAD RODRIGO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255</v>
      </c>
      <c r="E12" s="404">
        <f t="shared" si="0"/>
        <v>127.5</v>
      </c>
      <c r="F12" s="403">
        <f>IF(ISNUMBER(Datos!N12),Datos!N12," - ")</f>
        <v>322</v>
      </c>
      <c r="G12" s="404">
        <f t="shared" si="1"/>
        <v>161</v>
      </c>
      <c r="H12" s="403">
        <f>IF(ISNUMBER(Datos!O12),Datos!O12," - ")</f>
        <v>344</v>
      </c>
      <c r="I12" s="404">
        <f t="shared" si="2"/>
        <v>172</v>
      </c>
      <c r="BZ12" s="1186">
        <f>Datos!EZ12</f>
        <v>0</v>
      </c>
    </row>
    <row r="13" spans="1:78" ht="14.25" thickTop="1" thickBot="1">
      <c r="A13" s="848" t="str">
        <f>Datos!A13</f>
        <v>TOTAL</v>
      </c>
      <c r="B13" s="849">
        <f>Datos!AP13</f>
        <v>2</v>
      </c>
      <c r="C13" s="851">
        <f>Datos!AR13</f>
        <v>2</v>
      </c>
      <c r="D13" s="849">
        <f>SUBTOTAL(9,D9:D12)</f>
        <v>259</v>
      </c>
      <c r="E13" s="850">
        <f t="shared" si="0"/>
        <v>129.5</v>
      </c>
      <c r="F13" s="849">
        <f>SUBTOTAL(9,F9:F12)</f>
        <v>323</v>
      </c>
      <c r="G13" s="850">
        <f t="shared" si="1"/>
        <v>161.5</v>
      </c>
      <c r="H13" s="849">
        <f>SUBTOTAL(9,H9:H12)</f>
        <v>344</v>
      </c>
      <c r="I13" s="850">
        <f>IF(ISNUMBER(H13/B13),H13/B13," - ")</f>
        <v>172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129</v>
      </c>
      <c r="E16" s="404">
        <f t="shared" si="3"/>
        <v>64.5</v>
      </c>
      <c r="F16" s="403">
        <f>IF(ISNUMBER(Datos!N16),Datos!N16," - ")</f>
        <v>313</v>
      </c>
      <c r="G16" s="404">
        <f t="shared" si="4"/>
        <v>156.5</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136</v>
      </c>
      <c r="E18" s="850">
        <f t="shared" si="3"/>
        <v>68</v>
      </c>
      <c r="F18" s="849">
        <f>SUBTOTAL(9,F15:F17)</f>
        <v>356</v>
      </c>
      <c r="G18" s="850">
        <f t="shared" si="4"/>
        <v>178</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395</v>
      </c>
      <c r="E19" s="795">
        <f>IF(ISNUMBER(D19/B19),D19/B19," - ")</f>
        <v>197.5</v>
      </c>
      <c r="F19" s="794">
        <f>SUBTOTAL(9,F8:F18)</f>
        <v>679</v>
      </c>
      <c r="G19" s="795">
        <f>IF(ISNUMBER(F19/B19),F19/B19," - ")</f>
        <v>339.5</v>
      </c>
      <c r="H19" s="794">
        <f>SUBTOTAL(9,H8:H18)</f>
        <v>357</v>
      </c>
      <c r="I19" s="795">
        <f>IF(ISNUMBER(H19/B19),H19/B19," - ")</f>
        <v>178.5</v>
      </c>
    </row>
    <row r="22" spans="1:78">
      <c r="A22" s="391" t="str">
        <f>Criterios!A4</f>
        <v>Fecha Informe: 28 feb. 2025</v>
      </c>
    </row>
    <row r="27" spans="1:78">
      <c r="A27" s="414"/>
    </row>
  </sheetData>
  <sheetProtection algorithmName="SHA-512" hashValue="hfMjgmDmplwRGw1iaM2/sMCNn0GrL3AlYSlFnjjcxu9FHWwdfHoLWxG7A6v7Zj2j3P14QddEXGUi17ufsihObQ==" saltValue="ry3C2EmBn0ePMc8ZbAac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CIUDAD RODRIGO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196</v>
      </c>
      <c r="C12" s="434">
        <f>IF(ISNUMBER(Datos!Q12),Datos!Q12," - ")</f>
        <v>239</v>
      </c>
      <c r="D12" s="408">
        <f>IF(ISNUMBER(Datos!R12),Datos!R12," - ")</f>
        <v>405</v>
      </c>
    </row>
    <row r="13" spans="1:4" ht="14.25" thickTop="1" thickBot="1">
      <c r="A13" s="848" t="str">
        <f>Datos!A13</f>
        <v>TOTAL</v>
      </c>
      <c r="B13" s="849">
        <f>SUBTOTAL(9,B9:B12)</f>
        <v>196</v>
      </c>
      <c r="C13" s="853">
        <f>SUBTOTAL(9,C9:C12)</f>
        <v>239</v>
      </c>
      <c r="D13" s="851">
        <f>SUBTOTAL(9,D9:D12)</f>
        <v>405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21</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21</v>
      </c>
      <c r="D18" s="851">
        <f>SUBTOTAL(9,D15:D17)</f>
        <v>43</v>
      </c>
    </row>
    <row r="19" spans="1:4" ht="16.5" customHeight="1" thickTop="1" thickBot="1">
      <c r="A19" s="793" t="str">
        <f>Datos!A19</f>
        <v>TOTAL JURISDICCIONES</v>
      </c>
      <c r="B19" s="798">
        <f>SUBTOTAL(9,B8:B18)</f>
        <v>230</v>
      </c>
      <c r="C19" s="799">
        <f>SUBTOTAL(9,C8:C18)</f>
        <v>260</v>
      </c>
      <c r="D19" s="800">
        <f>SUBTOTAL(9,D8:D18)</f>
        <v>448</v>
      </c>
    </row>
    <row r="20" spans="1:4" ht="7.5" customHeight="1"/>
    <row r="21" spans="1:4" ht="6" customHeight="1"/>
    <row r="22" spans="1:4">
      <c r="A22" s="391" t="str">
        <f>Criterios!A4</f>
        <v>Fecha Informe: 28 feb. 2025</v>
      </c>
    </row>
    <row r="27" spans="1:4">
      <c r="A27" s="414"/>
    </row>
  </sheetData>
  <sheetProtection algorithmName="SHA-512" hashValue="nINiQ9mWkN4EXMt/mJMZDXC83mrWnkkBAxZRtB1wCSX1MDETR0VdjCE4/Ryxmdf6BGBlxGq5TdrvMIhFseP7jw==" saltValue="rbJuXLc9JasALRb1taYF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CIUDAD RODRIGO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0.25</v>
      </c>
      <c r="D10" s="456">
        <f>IF(ISNUMBER((Datos!K10-Datos!U10)/Datos!U10),(Datos!K10-Datos!U10)/Datos!U10," - ")</f>
        <v>0.25</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-0.19999999999999996</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-6.6666666666666721E-2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v>
      </c>
      <c r="C12" s="456">
        <f>IF(ISNUMBER(
   IF(J_V="SI",(Datos!J12-Datos!T12)/Datos!T12,(Datos!J12+Datos!Z12-(Datos!T12+Datos!AH12))/(Datos!T12+Datos!AH12))
     ),IF(J_V="SI",(Datos!J12-Datos!T12)/Datos!T12,(Datos!J12+Datos!Z12-(Datos!T12+Datos!AH12))/(Datos!T12+Datos!AH12))," - ")</f>
        <v>0.18276762402088773</v>
      </c>
      <c r="D12" s="456">
        <f>IF(ISNUMBER(
   IF(J_V="SI",(Datos!K12-Datos!U12)/Datos!U12,(Datos!K12+Datos!AA12-(Datos!U12+Datos!AI12))/(Datos!U12+Datos!AI12))
     ),IF(J_V="SI",(Datos!K12-Datos!U12)/Datos!U12,(Datos!K12+Datos!AA12-(Datos!U12+Datos!AI12))/(Datos!U12+Datos!AI12))," - ")</f>
        <v>0.20880681818181818</v>
      </c>
      <c r="E12" s="456">
        <f>IF(ISNUMBER(
   IF(J_V="SI",(Datos!L12-Datos!V12)/Datos!V12,(Datos!L12+Datos!AB12-(Datos!V12+Datos!AJ12))/(Datos!V12+Datos!AJ12))
     ),IF(J_V="SI",(Datos!L12-Datos!V12)/Datos!V12,(Datos!L12+Datos!AB12-(Datos!V12+Datos!AJ12))/(Datos!V12+Datos!AJ12))," - ")</f>
        <v>0.28244274809160308</v>
      </c>
      <c r="F12" s="456">
        <f>IF(ISNUMBER((Datos!M12-Datos!W12)/Datos!W12),(Datos!M12-Datos!W12)/Datos!W12," - ")</f>
        <v>0.67763157894736847</v>
      </c>
      <c r="G12" s="457">
        <f>IF(ISNUMBER((Datos!N12-Datos!X12)/Datos!X12),(Datos!N12-Datos!X12)/Datos!X12," - ")</f>
        <v>0.34166666666666667</v>
      </c>
      <c r="H12" s="455">
        <f>IF(ISNUMBER(((NºAsuntos!G12/NºAsuntos!E12)-Datos!BD12)/Datos!BD12),((NºAsuntos!G12/NºAsuntos!E12)-Datos!BD12)/Datos!BD12," - ")</f>
        <v>2.2015477623921312E-2</v>
      </c>
      <c r="I12" s="456">
        <f>IF(ISNUMBER(((NºAsuntos!I12/NºAsuntos!G12)-Datos!BE12)/Datos!BE12),((NºAsuntos!I12/NºAsuntos!G12)-Datos!BE12)/Datos!BE12," - ")</f>
        <v>6.0916209937119374E-2</v>
      </c>
      <c r="J12" s="461">
        <f>IF(ISNUMBER((('Resol  Asuntos'!D12/NºAsuntos!G12)-Datos!BF12)/Datos!BF12),(('Resol  Asuntos'!D12/NºAsuntos!G12)-Datos!BF12)/Datos!BF12," - ")</f>
        <v>-0.12103407755581667</v>
      </c>
      <c r="K12" s="462">
        <f>IF(ISNUMBER((((NºAsuntos!C12+NºAsuntos!E12)/NºAsuntos!G12)-Datos!BG12)/Datos!BG12),(((NºAsuntos!C12+NºAsuntos!E12)/NºAsuntos!G12)-Datos!BG12)/Datos!BG12," - ")</f>
        <v>2.5058815228955477E-4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0.30693069306930693</v>
      </c>
      <c r="C13" s="855">
        <f>IF(ISNUMBER(
   IF(J_V="SI",(Datos!J13-Datos!T13)/Datos!T13,(Datos!J13+Datos!Z13-(Datos!T13+Datos!AH13))/(Datos!T13+Datos!AH13))
     ),IF(J_V="SI",(Datos!J13-Datos!T13)/Datos!T13,(Datos!J13+Datos!Z13-(Datos!T13+Datos!AH13))/(Datos!T13+Datos!AH13))," - ")</f>
        <v>0.18311688311688312</v>
      </c>
      <c r="D13" s="855">
        <f>IF(ISNUMBER(
   IF(J_V="SI",(Datos!K13-Datos!U13)/Datos!U13,(Datos!K13+Datos!AA13-(Datos!U13+Datos!AI13))/(Datos!U13+Datos!AI13))
     ),IF(J_V="SI",(Datos!K13-Datos!U13)/Datos!U13,(Datos!K13+Datos!AA13-(Datos!U13+Datos!AI13))/(Datos!U13+Datos!AI13))," - ")</f>
        <v>0.20903954802259886</v>
      </c>
      <c r="E13" s="855">
        <f>IF(ISNUMBER(
   IF(J_V="SI",(Datos!L13-Datos!V13)/Datos!V13,(Datos!L13+Datos!AB13-(Datos!V13+Datos!AJ13))/(Datos!V13+Datos!AJ13))
     ),IF(J_V="SI",(Datos!L13-Datos!V13)/Datos!V13,(Datos!L13+Datos!AB13-(Datos!V13+Datos!AJ13))/(Datos!V13+Datos!AJ13))," - ")</f>
        <v>0.28030303030303028</v>
      </c>
      <c r="F13" s="856">
        <f>IF(ISNUMBER((Datos!M13-Datos!W13)/Datos!W13),(Datos!M13-Datos!W13)/Datos!W13," - ")</f>
        <v>0.66025641025641024</v>
      </c>
      <c r="G13" s="857">
        <f>IF(ISNUMBER((Datos!N13-Datos!X13)/Datos!X13),(Datos!N13-Datos!X13)/Datos!X13," - ")</f>
        <v>0.34583333333333333</v>
      </c>
      <c r="H13" s="857">
        <f>IF(ISNUMBER(((NºAsuntos!G13/NºAsuntos!E13)-Datos!BD13)/Datos!BD13),((NºAsuntos!G13/NºAsuntos!E13)-Datos!BD13)/Datos!BD13," - ")</f>
        <v>2.1910485156313005E-2</v>
      </c>
      <c r="I13" s="857">
        <f>IF(ISNUMBER(((NºAsuntos!I13/NºAsuntos!G13)-Datos!BE13)/Datos!BE13),((NºAsuntos!I13/NºAsuntos!G13)-Datos!BE13)/Datos!BE13," - ")</f>
        <v>5.894222599830079E-2</v>
      </c>
      <c r="J13" s="857">
        <f>IF(ISNUMBER((('Resol  Asuntos'!D13/NºAsuntos!G13)-Datos!BF13)/Datos!BF13),(('Resol  Asuntos'!D13/NºAsuntos!G13)-Datos!BF13)/Datos!BF13," - ")</f>
        <v>-0.12205071242531017</v>
      </c>
      <c r="K13" s="857">
        <f>IF(ISNUMBER((((NºAsuntos!C13+NºAsuntos!E13)/NºAsuntos!G13)-Datos!BG13)/Datos!BG13),(((NºAsuntos!C13+NºAsuntos!E13)/NºAsuntos!G13)-Datos!BG13)/Datos!BG13," - ")</f>
        <v>-1.5864774431738904E-4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0.24836601307189543</v>
      </c>
      <c r="C16" s="456">
        <f>IF(ISNUMBER(
   IF(D_I="SI",(Datos!J16-Datos!T16)/Datos!T16,(Datos!J16+Datos!AD16-(Datos!T16+Datos!AL16))/(Datos!T16+Datos!AL16))
     ),IF(D_I="SI",(Datos!J16-Datos!T16)/Datos!T16,(Datos!J16+Datos!AD16-(Datos!T16+Datos!AL16))/(Datos!T16+Datos!AL16))," - ")</f>
        <v>-2.1156558533145273E-2</v>
      </c>
      <c r="D16" s="456">
        <f>IF(ISNUMBER(
   IF(D_I="SI",(Datos!K16-Datos!U16)/Datos!U16,(Datos!K16+Datos!AE16-(Datos!U16+Datos!AM16))/(Datos!U16+Datos!AM16))
     ),IF(D_I="SI",(Datos!K16-Datos!U16)/Datos!U16,(Datos!K16+Datos!AE16-(Datos!U16+Datos!AM16))/(Datos!U16+Datos!AM16))," - ")</f>
        <v>0.27556325823223571</v>
      </c>
      <c r="E16" s="456">
        <f>IF(ISNUMBER(
   IF(D_I="SI",(Datos!L16-Datos!V16)/Datos!V16,(Datos!L16+Datos!AF16-(Datos!V16+Datos!AN16))/(Datos!V16+Datos!AN16))
     ),IF(D_I="SI",(Datos!L16-Datos!V16)/Datos!V16,(Datos!L16+Datos!AF16-(Datos!V16+Datos!AN16))/(Datos!V16+Datos!AN16))," - ")</f>
        <v>-0.19895287958115182</v>
      </c>
      <c r="F16" s="456">
        <f>IF(ISNUMBER((Datos!M16-Datos!W16)/Datos!W16),(Datos!M16-Datos!W16)/Datos!W16," - ")</f>
        <v>0.4175824175824176</v>
      </c>
      <c r="G16" s="457">
        <f>IF(ISNUMBER((Datos!N16-Datos!X16)/Datos!X16),(Datos!N16-Datos!X16)/Datos!X16," - ")</f>
        <v>0.11785714285714285</v>
      </c>
      <c r="H16" s="455">
        <f>IF(ISNUMBER(((NºAsuntos!G16/NºAsuntos!E16)-Datos!BD16)/Datos!BD16),((NºAsuntos!G16/NºAsuntos!E16)-Datos!BD16)/Datos!BD16," - ")</f>
        <v>0.30313306928912842</v>
      </c>
      <c r="I16" s="456">
        <f>IF(ISNUMBER(((NºAsuntos!I16/NºAsuntos!G16)-Datos!BE16)/Datos!BE16),((NºAsuntos!I16/NºAsuntos!G16)-Datos!BE16)/Datos!BE16," - ")</f>
        <v>-0.37200517869337579</v>
      </c>
      <c r="J16" s="461">
        <f>IF(ISNUMBER((('Resol  Asuntos'!D16/NºAsuntos!G16)-Datos!BF16)/Datos!BF16),(('Resol  Asuntos'!D16/NºAsuntos!G16)-Datos!BF16)/Datos!BF16," - ")</f>
        <v>0.11133838987099856</v>
      </c>
      <c r="K16" s="462">
        <f>IF(ISNUMBER((((NºAsuntos!C16+NºAsuntos!E16)/NºAsuntos!G16)-Datos!BG16)/Datos!BG16),(((NºAsuntos!C16+NºAsuntos!E16)/NºAsuntos!G16)-Datos!BG16)/Datos!BG16," - ")</f>
        <v>-0.16891732705076037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0.4</v>
      </c>
      <c r="G17" s="457">
        <f>IF(ISNUMBER((Datos!N17-Datos!X17)/Datos!X17),(Datos!N17-Datos!X17)/Datos!X17," - ")</f>
        <v>4.878048780487805E-2</v>
      </c>
      <c r="H17" s="455">
        <f>IF(ISNUMBER(((NºAsuntos!G17/NºAsuntos!E17)-Datos!BD17)/Datos!BD17),((NºAsuntos!G17/NºAsuntos!E17)-Datos!BD17)/Datos!BD17," - ")</f>
        <v>6.6666666666666666E-2</v>
      </c>
      <c r="I17" s="456">
        <f>IF(ISNUMBER(((NºAsuntos!I17/NºAsuntos!G17)-Datos!BE17)/Datos!BE17),((NºAsuntos!I17/NºAsuntos!G17)-Datos!BE17)/Datos!BE17," - ")</f>
        <v>-6.25E-2</v>
      </c>
      <c r="J17" s="461">
        <f>IF(ISNUMBER((('Resol  Asuntos'!D17/NºAsuntos!G17)-Datos!BF17)/Datos!BF17),(('Resol  Asuntos'!D17/NºAsuntos!G17)-Datos!BF17)/Datos!BF17," - ")</f>
        <v>0.31250000000000006</v>
      </c>
      <c r="K17" s="462">
        <f>IF(ISNUMBER((((NºAsuntos!C17+NºAsuntos!E17)/NºAsuntos!G17)-Datos!BG17)/Datos!BG17),(((NºAsuntos!C17+NºAsuntos!E17)/NºAsuntos!G17)-Datos!BG17)/Datos!BG17," - ")</f>
        <v>-1.2500000000000001E-2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0.25236593059936907</v>
      </c>
      <c r="C18" s="855">
        <f>IF(ISNUMBER(
   IF(Criterios!B14="SI",(Datos!J18-Datos!T18)/Datos!T18,(Datos!J18+Datos!AD18-(Datos!T18+Datos!AL18))/(Datos!T18+Datos!AL18))
     ),IF(Criterios!B14="SI",(Datos!J18-Datos!T18)/Datos!T18,(Datos!J18+Datos!AD18-(Datos!T18+Datos!AL18))/(Datos!T18+Datos!AL18))," - ")</f>
        <v>-1.9404915912031046E-2</v>
      </c>
      <c r="D18" s="855">
        <f>IF(ISNUMBER(
   IF(Criterios!B14="SI",(Datos!K18-Datos!U18)/Datos!U18,(Datos!K18+Datos!AE18-(Datos!U18+Datos!AM18))/(Datos!U18+Datos!AM18))
     ),IF(Criterios!B14="SI",(Datos!K18-Datos!U18)/Datos!U18,(Datos!K18+Datos!AE18-(Datos!U18+Datos!AM18))/(Datos!U18+Datos!AM18))," - ")</f>
        <v>0.25588697017268447</v>
      </c>
      <c r="E18" s="855">
        <f>IF(ISNUMBER(
   IF(Criterios!B14="SI",(Datos!L18-Datos!V18)/Datos!V18,(Datos!L18+Datos!AF18-(Datos!V18+Datos!AN18))/(Datos!V18+Datos!AN18))
     ),IF(Criterios!B14="SI",(Datos!L18-Datos!V18)/Datos!V18,(Datos!L18+Datos!AF18-(Datos!V18+Datos!AN18))/(Datos!V18+Datos!AN18))," - ")</f>
        <v>-0.19143576826196473</v>
      </c>
      <c r="F18" s="856">
        <f>IF(ISNUMBER((Datos!M18-Datos!W18)/Datos!W18),(Datos!M18-Datos!W18)/Datos!W18," - ")</f>
        <v>0.41666666666666669</v>
      </c>
      <c r="G18" s="857">
        <f>IF(ISNUMBER((Datos!N18-Datos!X18)/Datos!X18),(Datos!N18-Datos!X18)/Datos!X18," - ")</f>
        <v>0.10903426791277258</v>
      </c>
      <c r="H18" s="857">
        <f>IF(ISNUMBER(((NºAsuntos!G18/NºAsuntos!E18)-Datos!BD18)/Datos!BD18),((NºAsuntos!G18/NºAsuntos!E18)-Datos!BD18)/Datos!BD18," - ")</f>
        <v>0.28073961470116771</v>
      </c>
      <c r="I18" s="857">
        <f>IF(ISNUMBER(((NºAsuntos!I18/NºAsuntos!G18)-Datos!BE18)/Datos!BE18),((NºAsuntos!I18/NºAsuntos!G18)-Datos!BE18)/Datos!BE18," - ")</f>
        <v>-0.35618073047858939</v>
      </c>
      <c r="J18" s="857">
        <f>IF(ISNUMBER((('Resol  Asuntos'!D18/NºAsuntos!G18)-Datos!BF18)/Datos!BF18),(('Resol  Asuntos'!D18/NºAsuntos!G18)-Datos!BF18)/Datos!BF18," - ")</f>
        <v>0.1280208333333335</v>
      </c>
      <c r="K18" s="857">
        <f>IF(ISNUMBER((((NºAsuntos!C18+NºAsuntos!E18)/NºAsuntos!G18)-Datos!BG18)/Datos!BG18),(((NºAsuntos!C18+NºAsuntos!E18)/NºAsuntos!G18)-Datos!BG18)/Datos!BG18," - ")</f>
        <v>-0.1562672018348624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0.27360308285163776</v>
      </c>
      <c r="C19" s="802">
        <f>IF(ISNUMBER(
   IF(J_V="SI",(Datos!J19-Datos!T19)/Datos!T19,(Datos!J19+Datos!Z19-(Datos!T19+Datos!AH19))/(Datos!T19+Datos!AH19))
     ),IF(J_V="SI",(Datos!J19-Datos!T19)/Datos!T19,(Datos!J19+Datos!Z19-(Datos!T19+Datos!AH19))/(Datos!T19+Datos!AH19))," - ")</f>
        <v>8.1659105638366813E-2</v>
      </c>
      <c r="D19" s="802">
        <f>IF(ISNUMBER(
   IF(J_V="SI",(Datos!K19-Datos!U19)/Datos!U19,(Datos!K19+Datos!AA19-(Datos!U19+Datos!AI19))/(Datos!U19+Datos!AI19))
     ),IF(J_V="SI",(Datos!K19-Datos!U19)/Datos!U19,(Datos!K19+Datos!AA19-(Datos!U19+Datos!AI19))/(Datos!U19+Datos!AI19))," - ")</f>
        <v>0.2312267657992565</v>
      </c>
      <c r="E19" s="802">
        <f>IF(ISNUMBER(
   IF(J_V="SI",(Datos!L19-Datos!V19)/Datos!V19,(Datos!L19+Datos!AB19-(Datos!V19+Datos!AJ19))/(Datos!V19+Datos!AJ19))
     ),IF(J_V="SI",(Datos!L19-Datos!V19)/Datos!V19,(Datos!L19+Datos!AB19-(Datos!V19+Datos!AJ19))/(Datos!V19+Datos!AJ19))," - ")</f>
        <v>-3.0257186081694403E-3</v>
      </c>
      <c r="F19" s="803">
        <f>IF(ISNUMBER((Datos!M19-Datos!W19)/Datos!W19),(Datos!M19-Datos!W19)/Datos!W19," - ")</f>
        <v>0.56746031746031744</v>
      </c>
      <c r="G19" s="804">
        <f>IF(ISNUMBER((Datos!N19-Datos!X19)/Datos!X19),(Datos!N19-Datos!X19)/Datos!X19," - ")</f>
        <v>0.21033868092691621</v>
      </c>
      <c r="H19" s="805">
        <f>IF(ISNUMBER((Tasas!B19-Datos!BD19)/Datos!BD19),(Tasas!B19-Datos!BD19)/Datos!BD19," - ")</f>
        <v>0.13827615316252415</v>
      </c>
      <c r="I19" s="806">
        <f>IF(ISNUMBER((Tasas!C19-Datos!BE19)/Datos!BE19),(Tasas!C19-Datos!BE19)/Datos!BE19," - ")</f>
        <v>-0.19025941517390574</v>
      </c>
      <c r="J19" s="807">
        <f>IF(ISNUMBER((Tasas!D19-Datos!BF19)/Datos!BF19),(Tasas!D19-Datos!BF19)/Datos!BF19," - ")</f>
        <v>-5.6416950838306251E-2</v>
      </c>
      <c r="K19" s="807">
        <f>IF(ISNUMBER((Tasas!E19-Datos!BG19)/Datos!BG19),(Tasas!E19-Datos!BG19)/Datos!BG19," - ")</f>
        <v>-8.2239816884315725E-2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EDl4p5YXG5KB3RXsrZ7Kx9vWaDjWFsYh7l8ejP81tObsSX1CPZaiOFoTJLeP5euIPIQbBgyItusUCNlsmu6gQ==" saltValue="y5qstCdRs9BNM+3ItRIa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CIUDAD RODRIGO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0.4</v>
      </c>
      <c r="D10" s="444">
        <f>IF(ISNUMBER('Resol  Asuntos'!D10/NºAsuntos!G10),'Resol  Asuntos'!D10/NºAsuntos!G10," - ")</f>
        <v>0.8</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0.93929359823399561</v>
      </c>
      <c r="C12" s="443">
        <f>IF(ISNUMBER(NºAsuntos!I12/NºAsuntos!G12),NºAsuntos!I12/NºAsuntos!G12," - ")</f>
        <v>0.39482961222091656</v>
      </c>
      <c r="D12" s="444">
        <f>IF(ISNUMBER('Resol  Asuntos'!D12/NºAsuntos!G12),'Resol  Asuntos'!D12/NºAsuntos!G12," - ")</f>
        <v>0.29964747356051702</v>
      </c>
      <c r="E12" s="445">
        <f>IF(ISNUMBER((NºAsuntos!C12+NºAsuntos!E12)/NºAsuntos!G12),(NºAsuntos!C12+NºAsuntos!E12)/NºAsuntos!G12," - ")</f>
        <v>1.3725029377203291</v>
      </c>
      <c r="G12" s="463"/>
    </row>
    <row r="13" spans="1:7" ht="14.25" thickTop="1" thickBot="1">
      <c r="A13" s="848" t="str">
        <f>Datos!A13</f>
        <v>TOTAL</v>
      </c>
      <c r="B13" s="858">
        <f>IF(ISNUMBER(NºAsuntos!G13/NºAsuntos!E13),NºAsuntos!G13/NºAsuntos!E13," - ")</f>
        <v>0.93962678375411635</v>
      </c>
      <c r="C13" s="859">
        <f>IF(ISNUMBER(NºAsuntos!I13/NºAsuntos!G13),NºAsuntos!I13/NºAsuntos!G13," - ")</f>
        <v>0.39485981308411217</v>
      </c>
      <c r="D13" s="860">
        <f>IF(ISNUMBER('Resol  Asuntos'!D13/NºAsuntos!G13),'Resol  Asuntos'!D13/NºAsuntos!G13," - ")</f>
        <v>0.30257009345794394</v>
      </c>
      <c r="E13" s="861">
        <f>IF(ISNUMBER((NºAsuntos!C13+NºAsuntos!E13)/NºAsuntos!G13),(NºAsuntos!C13+NºAsuntos!E13)/NºAsuntos!G13," - ")</f>
        <v>1.3726635514018692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1.0605187319884726</v>
      </c>
      <c r="C16" s="443">
        <f>IF(ISNUMBER(NºAsuntos!I16/NºAsuntos!G16),NºAsuntos!I16/NºAsuntos!G16," - ")</f>
        <v>0.41576086956521741</v>
      </c>
      <c r="D16" s="444">
        <f>IF(ISNUMBER('Resol  Asuntos'!D16/NºAsuntos!G16),'Resol  Asuntos'!D16/NºAsuntos!G16," - ")</f>
        <v>0.17527173913043478</v>
      </c>
      <c r="E16" s="445">
        <f>IF(ISNUMBER((NºAsuntos!C16+NºAsuntos!E16)/NºAsuntos!G16),(NºAsuntos!C16+NºAsuntos!E16)/NºAsuntos!G16," - ")</f>
        <v>1.4619565217391304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0.234375</v>
      </c>
      <c r="D17" s="444">
        <f>IF(ISNUMBER('Resol  Asuntos'!D17/NºAsuntos!G17),'Resol  Asuntos'!D17/NºAsuntos!G17," - ")</f>
        <v>0.109375</v>
      </c>
      <c r="E17" s="445">
        <f>IF(ISNUMBER((NºAsuntos!C17+NºAsuntos!E17)/NºAsuntos!G17),(NºAsuntos!C17+NºAsuntos!E17)/NºAsuntos!G17," - ")</f>
        <v>1.234375</v>
      </c>
      <c r="G17" s="463"/>
    </row>
    <row r="18" spans="1:7" ht="14.25" thickTop="1" thickBot="1">
      <c r="A18" s="848" t="str">
        <f>Datos!A18</f>
        <v>TOTAL</v>
      </c>
      <c r="B18" s="858">
        <f>IF(ISNUMBER(NºAsuntos!G18/NºAsuntos!E18),NºAsuntos!G18/NºAsuntos!E18," - ")</f>
        <v>1.0554089709762533</v>
      </c>
      <c r="C18" s="859">
        <f>IF(ISNUMBER(NºAsuntos!I18/NºAsuntos!G18),NºAsuntos!I18/NºAsuntos!G18," - ")</f>
        <v>0.40125</v>
      </c>
      <c r="D18" s="862">
        <f>IF(ISNUMBER('Resol  Asuntos'!D18/NºAsuntos!G18),'Resol  Asuntos'!D18/NºAsuntos!G18," - ")</f>
        <v>0.17</v>
      </c>
      <c r="E18" s="861">
        <f>IF(ISNUMBER((NºAsuntos!C18+NºAsuntos!E18)/NºAsuntos!G18),(NºAsuntos!C18+NºAsuntos!E18)/NºAsuntos!G18," - ")</f>
        <v>1.4437500000000001</v>
      </c>
      <c r="G18" s="463"/>
    </row>
    <row r="19" spans="1:7" ht="15.75" customHeight="1" thickTop="1" thickBot="1">
      <c r="A19" s="793" t="str">
        <f>Datos!A19</f>
        <v>TOTAL JURISDICCIONES</v>
      </c>
      <c r="B19" s="808">
        <f>IF(ISNUMBER(NºAsuntos!G19/NºAsuntos!E19),NºAsuntos!G19/NºAsuntos!E19," - ")</f>
        <v>0.99221090473337326</v>
      </c>
      <c r="C19" s="809">
        <f>IF(ISNUMBER(NºAsuntos!I19/NºAsuntos!G19),NºAsuntos!I19/NºAsuntos!G19," - ")</f>
        <v>0.39794685990338163</v>
      </c>
      <c r="D19" s="810">
        <f>IF(ISNUMBER('Resol  Asuntos'!D19/NºAsuntos!G19),'Resol  Asuntos'!D19/NºAsuntos!G19," - ")</f>
        <v>0.23852657004830918</v>
      </c>
      <c r="E19" s="811">
        <f>IF(ISNUMBER((NºAsuntos!C19+NºAsuntos!E19)/NºAsuntos!G19),(NºAsuntos!C19+NºAsuntos!E19)/NºAsuntos!G19," - ")</f>
        <v>1.4070048309178744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rQv/h916LONA/bbn6cf+B0UBzQV9TyzvFCVrhw3ji+EHGmRHVZ8LEMIwGi/A7gNCrgBmn6RFEkPlip5cHUfuQ==" saltValue="MEcbR1kYC+7eGQpXseHB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CIUDAD RODRIGO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4.4000000000000004</v>
      </c>
      <c r="AN10" s="244">
        <f>IF(ISNUMBER('Resol  Asuntos'!D10/NºAsuntos!G10),'Resol  Asuntos'!D10/NºAsuntos!G10," - ")</f>
        <v>0.8</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239</v>
      </c>
      <c r="Y12" s="334">
        <f t="shared" si="0"/>
        <v>239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255</v>
      </c>
      <c r="AJ12" s="229" t="str">
        <f>IF(ISNUMBER(Datos!BW12),Datos!BW12," - ")</f>
        <v xml:space="preserve"> - </v>
      </c>
      <c r="AK12" s="228" t="str">
        <f>IF(ISNUMBER(Datos!BX12),Datos!BX12," - ")</f>
        <v xml:space="preserve"> - </v>
      </c>
      <c r="AL12" s="243">
        <f>IF(ISNUMBER(NºAsuntos!G12/NºAsuntos!E12),NºAsuntos!G12/NºAsuntos!E12," - ")</f>
        <v>0.93929359823399561</v>
      </c>
      <c r="AM12" s="260">
        <f>IF(ISNUMBER(((NºAsuntos!I12/NºAsuntos!G12)*11)/factor_trimestre),((NºAsuntos!I12/NºAsuntos!G12)*11)/factor_trimestre," - ")</f>
        <v>4.3431257344300818</v>
      </c>
      <c r="AN12" s="244">
        <f>IF(ISNUMBER('Resol  Asuntos'!D12/NºAsuntos!G12),'Resol  Asuntos'!D12/NºAsuntos!G12," - ")</f>
        <v>0.29964747356051702</v>
      </c>
      <c r="AO12" s="245">
        <f>IF(ISNUMBER((NºAsuntos!C12+NºAsuntos!E12)/NºAsuntos!G12),(NºAsuntos!C12+NºAsuntos!E12)/NºAsuntos!G12," - ")</f>
        <v>1.3725029377203291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239</v>
      </c>
      <c r="Y13" s="868">
        <f t="shared" si="4"/>
        <v>244</v>
      </c>
      <c r="Z13" s="868">
        <f t="shared" si="4"/>
        <v>0</v>
      </c>
      <c r="AA13" s="868">
        <f t="shared" si="4"/>
        <v>2</v>
      </c>
      <c r="AB13" s="868">
        <f t="shared" si="4"/>
        <v>405</v>
      </c>
      <c r="AC13" s="868">
        <f t="shared" si="4"/>
        <v>2</v>
      </c>
      <c r="AD13" s="868">
        <f t="shared" si="4"/>
        <v>0</v>
      </c>
      <c r="AE13" s="872">
        <f t="shared" si="4"/>
        <v>0</v>
      </c>
      <c r="AF13" s="865">
        <f t="shared" si="4"/>
        <v>0</v>
      </c>
      <c r="AG13" s="873">
        <f t="shared" si="4"/>
        <v>0</v>
      </c>
      <c r="AH13" s="870">
        <f t="shared" si="4"/>
        <v>0</v>
      </c>
      <c r="AI13" s="865">
        <f t="shared" si="4"/>
        <v>259</v>
      </c>
      <c r="AJ13" s="867">
        <f t="shared" si="4"/>
        <v>0</v>
      </c>
      <c r="AK13" s="870">
        <f>SUBTOTAL(9,AK9:AK12)</f>
        <v>0</v>
      </c>
      <c r="AL13" s="874">
        <f>IF(ISNUMBER(NºAsuntos!G13/NºAsuntos!E13),NºAsuntos!G13/NºAsuntos!E13," - ")</f>
        <v>0.93962678375411635</v>
      </c>
      <c r="AM13" s="874">
        <f>IF(ISNUMBER(((NºAsuntos!I13/NºAsuntos!G13)*11)/factor_trimestre),((NºAsuntos!I13/NºAsuntos!G13)*11)/factor_trimestre," - ")</f>
        <v>4.3434579439252339</v>
      </c>
      <c r="AN13" s="875">
        <f>IF(ISNUMBER('Resol  Asuntos'!D13/NºAsuntos!G13),'Resol  Asuntos'!D13/NºAsuntos!G13," - ")</f>
        <v>0.30257009345794394</v>
      </c>
      <c r="AO13" s="876">
        <f>IF(ISNUMBER((NºAsuntos!C13+NºAsuntos!E13)/NºAsuntos!G13),(NºAsuntos!C13+NºAsuntos!E13)/NºAsuntos!G13," - ")</f>
        <v>1.3726635514018692</v>
      </c>
      <c r="AP13" s="877" t="str">
        <f t="shared" si="2"/>
        <v xml:space="preserve"> - </v>
      </c>
      <c r="AQ13" s="877">
        <f>IF(ISNUMBER((H13-W13+K13)/(F13)),(H13-W13+K13)/(F13)," - ")</f>
        <v>-2.5</v>
      </c>
      <c r="AR13" s="878">
        <f>IF(ISNUMBER((Datos!P13-Datos!Q13)/(Datos!R13-Datos!P13+Datos!Q13)),(Datos!P13-Datos!Q13)/(Datos!R13-Datos!P13+Datos!Q13)," - ")</f>
        <v>-9.5982142857142863E-2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348</v>
      </c>
      <c r="G16" s="333">
        <f>IF(ISNUMBER(IF(D_I="SI",Datos!I16,Datos!I16+Datos!AC16)),IF(D_I="SI",Datos!I16,Datos!I16+Datos!AC16)," - ")</f>
        <v>382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736</v>
      </c>
      <c r="X16" s="226">
        <f>IF(ISNUMBER(Datos!Q16),Datos!Q16," - ")</f>
        <v>21</v>
      </c>
      <c r="Y16" s="334">
        <f t="shared" ref="Y16:Y17" si="7">SUM(W16:X16)</f>
        <v>757</v>
      </c>
      <c r="Z16" s="335" t="str">
        <f>IF(ISNUMBER(Datos!CC16),Datos!CC16," - ")</f>
        <v xml:space="preserve"> - </v>
      </c>
      <c r="AA16" s="332">
        <f>IF(ISNUMBER(IF(D_I="SI",Datos!L16,Datos!L16+Datos!AF16)),IF(D_I="SI",Datos!L16,Datos!L16+Datos!AF16)," - ")</f>
        <v>306</v>
      </c>
      <c r="AB16" s="334">
        <f>IF(ISNUMBER(Datos!R16),Datos!R16," - ")</f>
        <v>43</v>
      </c>
      <c r="AC16" s="334">
        <f t="shared" si="6"/>
        <v>349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129</v>
      </c>
      <c r="AJ16" s="231" t="str">
        <f>IF(ISNUMBER(Datos!BW16),Datos!BW16," - ")</f>
        <v xml:space="preserve"> - </v>
      </c>
      <c r="AK16" s="232" t="str">
        <f>IF(ISNUMBER(Datos!BX16),Datos!BX16," - ")</f>
        <v xml:space="preserve"> - </v>
      </c>
      <c r="AL16" s="243">
        <f>IF(ISNUMBER(NºAsuntos!G16/NºAsuntos!E16),NºAsuntos!G16/NºAsuntos!E16," - ")</f>
        <v>1.0605187319884726</v>
      </c>
      <c r="AM16" s="260">
        <f>IF(ISNUMBER(((NºAsuntos!I16/NºAsuntos!G16)*11)/factor_trimestre),((NºAsuntos!I16/NºAsuntos!G16)*11)/factor_trimestre," - ")</f>
        <v>4.5733695652173916</v>
      </c>
      <c r="AN16" s="244">
        <f>IF(ISNUMBER('Resol  Asuntos'!D16/NºAsuntos!G16),'Resol  Asuntos'!D16/NºAsuntos!G16," - ")</f>
        <v>0.17527173913043478</v>
      </c>
      <c r="AO16" s="245">
        <f>IF(ISNUMBER((NºAsuntos!C16+NºAsuntos!E16)/NºAsuntos!G16),(NºAsuntos!C16+NºAsuntos!E16)/NºAsuntos!G16," - ")</f>
        <v>1.4619565217391304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2.578125</v>
      </c>
      <c r="AN17" s="244">
        <f>IF(ISNUMBER('Resol  Asuntos'!D17/NºAsuntos!G17),'Resol  Asuntos'!D17/NºAsuntos!G17," - ")</f>
        <v>0.109375</v>
      </c>
      <c r="AO17" s="245">
        <f>IF(ISNUMBER((NºAsuntos!C17+NºAsuntos!E17)/NºAsuntos!G17),(NºAsuntos!C17+NºAsuntos!E17)/NºAsuntos!G17," - ")</f>
        <v>1.234375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348</v>
      </c>
      <c r="G18" s="866">
        <f>SUBTOTAL(9,G15:G17)</f>
        <v>397</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800</v>
      </c>
      <c r="X18" s="867">
        <f t="shared" si="11"/>
        <v>21</v>
      </c>
      <c r="Y18" s="868">
        <f t="shared" si="11"/>
        <v>821</v>
      </c>
      <c r="Z18" s="868">
        <f t="shared" si="11"/>
        <v>0</v>
      </c>
      <c r="AA18" s="868">
        <f t="shared" si="11"/>
        <v>321</v>
      </c>
      <c r="AB18" s="868">
        <f t="shared" si="11"/>
        <v>43</v>
      </c>
      <c r="AC18" s="868">
        <f t="shared" si="11"/>
        <v>364</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1.0554089709762533</v>
      </c>
      <c r="AM18" s="874">
        <f>IF(ISNUMBER(((NºAsuntos!I18/NºAsuntos!G18)*11)/factor_trimestre),((NºAsuntos!I18/NºAsuntos!G18)*11)/factor_trimestre," - ")</f>
        <v>4.4137500000000003</v>
      </c>
      <c r="AN18" s="875">
        <f>IF(ISNUMBER('Resol  Asuntos'!D18/NºAsuntos!G18),'Resol  Asuntos'!D18/NºAsuntos!G18," - ")</f>
        <v>0.17</v>
      </c>
      <c r="AO18" s="876">
        <f>IF(ISNUMBER((NºAsuntos!C18+NºAsuntos!E18)/NºAsuntos!G18),(NºAsuntos!C18+NºAsuntos!E18)/NºAsuntos!G18," - ")</f>
        <v>1.4437500000000001</v>
      </c>
      <c r="AP18" s="877" t="str">
        <f t="shared" si="2"/>
        <v xml:space="preserve"> - </v>
      </c>
      <c r="AQ18" s="877">
        <f>IF(ISNUMBER((H18-W18+K18)/(F18)),(H18-W18+K18)/(F18)," - ")</f>
        <v>-2.2988505747126435</v>
      </c>
      <c r="AR18" s="878">
        <f>IF(ISNUMBER((Datos!P18-Datos!Q18)/(Datos!R18-Datos!P18+Datos!Q18)),(Datos!P18-Datos!Q18)/(Datos!R18-Datos!P18+Datos!Q18)," - ")</f>
        <v>0.43333333333333335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350</v>
      </c>
      <c r="G19" s="821">
        <f t="shared" si="13"/>
        <v>399</v>
      </c>
      <c r="H19" s="820">
        <f t="shared" si="13"/>
        <v>0</v>
      </c>
      <c r="I19" s="822">
        <f t="shared" si="13"/>
        <v>0</v>
      </c>
      <c r="J19" s="822">
        <f t="shared" si="13"/>
        <v>0</v>
      </c>
      <c r="K19" s="881">
        <f t="shared" si="13"/>
        <v>0</v>
      </c>
      <c r="L19" s="822">
        <f t="shared" si="13"/>
        <v>230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805</v>
      </c>
      <c r="X19" s="821">
        <f t="shared" si="14"/>
        <v>260</v>
      </c>
      <c r="Y19" s="828">
        <f t="shared" si="14"/>
        <v>1065</v>
      </c>
      <c r="Z19" s="828">
        <f t="shared" si="14"/>
        <v>0</v>
      </c>
      <c r="AA19" s="828">
        <f t="shared" si="14"/>
        <v>323</v>
      </c>
      <c r="AB19" s="828">
        <f t="shared" si="14"/>
        <v>448</v>
      </c>
      <c r="AC19" s="828">
        <f t="shared" si="14"/>
        <v>366</v>
      </c>
      <c r="AD19" s="828">
        <f t="shared" si="14"/>
        <v>0</v>
      </c>
      <c r="AE19" s="830">
        <f t="shared" si="14"/>
        <v>0</v>
      </c>
      <c r="AF19" s="831">
        <f t="shared" si="14"/>
        <v>0</v>
      </c>
      <c r="AG19" s="832">
        <f t="shared" si="14"/>
        <v>0</v>
      </c>
      <c r="AH19" s="830">
        <f t="shared" si="14"/>
        <v>0</v>
      </c>
      <c r="AI19" s="820">
        <f t="shared" si="14"/>
        <v>395</v>
      </c>
      <c r="AJ19" s="820">
        <f t="shared" si="14"/>
        <v>0</v>
      </c>
      <c r="AK19" s="830">
        <f t="shared" si="14"/>
        <v>0</v>
      </c>
      <c r="AL19" s="884">
        <f>IF(ISNUMBER(NºAsuntos!G19/NºAsuntos!E19),NºAsuntos!G19/NºAsuntos!E19," - ")</f>
        <v>0.99221090473337326</v>
      </c>
      <c r="AM19" s="885">
        <f>IF(ISNUMBER(((NºAsuntos!I19/NºAsuntos!G19)*11)/factor_trimestre),((NºAsuntos!I19/NºAsuntos!G19)*11)/factor_trimestre," - ")</f>
        <v>4.3774154589371976</v>
      </c>
      <c r="AN19" s="885">
        <f>IF(ISNUMBER('Resol  Asuntos'!D19/NºAsuntos!G19),'Resol  Asuntos'!D19/NºAsuntos!G19," - ")</f>
        <v>0.23852657004830918</v>
      </c>
      <c r="AO19" s="886">
        <f>IF(ISNUMBER((NºAsuntos!C19+NºAsuntos!E19)/NºAsuntos!G19),(NºAsuntos!C19+NºAsuntos!E19)/NºAsuntos!G19," - ")</f>
        <v>1.4070048309178744</v>
      </c>
      <c r="AP19" s="887" t="str">
        <f t="shared" si="2"/>
        <v xml:space="preserve"> - </v>
      </c>
      <c r="AQ19" s="888">
        <f>IF(OR(ISNUMBER(FIND("01",Criterios!A8,1)),ISNUMBER(FIND("02",Criterios!A8,1)),ISNUMBER(FIND("03",Criterios!A8,1)),ISNUMBER(FIND("04",Criterios!A8,1))),(I19-W19+K19)/(F19-K19),(H19-W19+K19)/(F19-K19))</f>
        <v>-2.2999999999999998</v>
      </c>
      <c r="AR19" s="889">
        <f>IF(ISNUMBER((Datos!P19-Datos!Q19)/(Datos!R19-Datos!P19+Datos!Q19)),(Datos!P19-Datos!Q19)/(Datos!R19-Datos!P19+Datos!Q19)," - ")</f>
        <v>-6.2761506276150625E-2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199.76319313961051</v>
      </c>
      <c r="G21" s="253">
        <f>IF(ISNUMBER(STDEV(G8:G18)),STDEV(G8:G18),"-")</f>
        <v>210.00309521528487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408.47949764951483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112.50896260594827</v>
      </c>
      <c r="AJ21" s="252">
        <f t="shared" si="18"/>
        <v>0</v>
      </c>
      <c r="AK21" s="254">
        <f t="shared" si="18"/>
        <v>0</v>
      </c>
      <c r="AL21" s="249">
        <f t="shared" si="18"/>
        <v>5.3025351930208062E-2</v>
      </c>
      <c r="AM21" s="250">
        <f t="shared" si="18"/>
        <v>0.75452707335517011</v>
      </c>
      <c r="AN21" s="250">
        <f t="shared" si="18"/>
        <v>0.2522946033724015</v>
      </c>
      <c r="AO21" s="251">
        <f t="shared" si="18"/>
        <v>8.0613911617993167E-2</v>
      </c>
      <c r="AP21" s="291" t="str">
        <f t="shared" si="18"/>
        <v>-</v>
      </c>
      <c r="AQ21" s="292">
        <f t="shared" si="18"/>
        <v>0.14223412265246657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RANCNOWj1RVoqQVPGo8tcUkj4VKVPj9vIHzC35Yq/fpxIifyBtS9s859VdgWAdicTQCzz2F+vHa+xaJ9l1pbg==" saltValue="H7rZiOcjTUd+SJnIY/2H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CIUDAD RODRIGO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0.25</v>
      </c>
      <c r="F10" s="348">
        <f>IF(ISNUMBER((Datos!K10-Datos!U10)/Datos!U10),(Datos!K10-Datos!U10)/Datos!U10," - ")</f>
        <v>0.25</v>
      </c>
      <c r="G10" s="349">
        <f>IF(ISNUMBER((Datos!L10-Datos!V10)/Datos!V10),(Datos!L10-Datos!V10)/Datos!V10," - ")</f>
        <v>0</v>
      </c>
      <c r="H10" s="230">
        <f>IF(ISNUMBER((Datos!M10-Datos!W10)/Datos!W10),(Datos!M10-Datos!W10)/Datos!W10," - ")</f>
        <v>0</v>
      </c>
      <c r="I10" s="350">
        <f>IF(ISNUMBER((Tasas!C10-Datos!BE10)/Datos!BE10),(Tasas!C10-Datos!BE10)/Datos!BE10," - ")</f>
        <v>-0.19999999999999996</v>
      </c>
      <c r="J10" s="349">
        <f>IF(ISNUMBER((Tasas!D10-Datos!BF10)/Datos!BF10),(Tasas!D10-Datos!BF10)/Datos!BF10," - ")</f>
        <v>-0.19999999999999996</v>
      </c>
      <c r="K10" s="351">
        <f>IF(ISNUMBER((Tasas!E10-Datos!BG10)/Datos!BG10),(Tasas!E10-Datos!BG10)/Datos!BG10," - ")</f>
        <v>-6.6666666666666721E-2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0.67763157894736847</v>
      </c>
      <c r="I12" s="350">
        <f>IF(ISNUMBER((Tasas!C12-Datos!BE12)/Datos!BE12),(Tasas!C12-Datos!BE12)/Datos!BE12," - ")</f>
        <v>6.0916209937119374E-2</v>
      </c>
      <c r="J12" s="349">
        <f>IF(ISNUMBER((Tasas!D12-Datos!BF12)/Datos!BF12),(Tasas!D12-Datos!BF12)/Datos!BF12," - ")</f>
        <v>-0.12103407755581667</v>
      </c>
      <c r="K12" s="351">
        <f>IF(ISNUMBER((Tasas!E12-Datos!BG12)/Datos!BG12),(Tasas!E12-Datos!BG12)/Datos!BG12," - ")</f>
        <v>2.5058815228955477E-4</v>
      </c>
      <c r="M12" t="e">
        <f>IF(Monitorios="SI",Datos!CE12,0)</f>
        <v>#REF!</v>
      </c>
      <c r="N12" t="e">
        <f>IF(Monitorios="SI",Datos!CF12,0)</f>
        <v>#REF!</v>
      </c>
      <c r="O12" t="e">
        <f>IF(Monitorios="SI",Datos!CG12,0)</f>
        <v>#REF!</v>
      </c>
      <c r="P12" t="e">
        <f>IF(Monitorios="SI",Datos!CH12,0)</f>
        <v>#REF!</v>
      </c>
      <c r="Q12">
        <f>IF(J_V="SI",0,Datos!AG12)</f>
        <v>14</v>
      </c>
      <c r="R12">
        <f>IF(J_V="SI",0,Datos!AH12)</f>
        <v>52</v>
      </c>
      <c r="S12">
        <f>IF(J_V="SI",0,Datos!AI12)</f>
        <v>49</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0.66025641025641024</v>
      </c>
      <c r="I13" s="357">
        <f>IF(ISNUMBER((Tasas!C13-Datos!BE13)/Datos!BE13),(Tasas!C13-Datos!BE13)/Datos!BE13," - ")</f>
        <v>5.894222599830079E-2</v>
      </c>
      <c r="J13" s="355">
        <f>IF(ISNUMBER((Tasas!D13-Datos!BF13)/Datos!BF13),(Tasas!D13-Datos!BF13)/Datos!BF13," - ")</f>
        <v>-0.12205071242531017</v>
      </c>
      <c r="K13" s="358">
        <f>IF(ISNUMBER((Tasas!E13-Datos!BG13)/Datos!BG13),(Tasas!E13-Datos!BG13)/Datos!BG13," - ")</f>
        <v>-1.5864774431738904E-4</v>
      </c>
      <c r="M13" t="e">
        <f>IF(Monitorios="SI",Datos!CE13,0)</f>
        <v>#REF!</v>
      </c>
      <c r="N13" t="e">
        <f>IF(Monitorios="SI",Datos!CF13,0)</f>
        <v>#REF!</v>
      </c>
      <c r="O13" t="e">
        <f>IF(Monitorios="SI",Datos!CG13,0)</f>
        <v>#REF!</v>
      </c>
      <c r="P13" t="e">
        <f>IF(Monitorios="SI",Datos!CH13,0)</f>
        <v>#REF!</v>
      </c>
      <c r="Q13">
        <f>IF(J_V="SI",0,Datos!AG13)</f>
        <v>14</v>
      </c>
      <c r="R13">
        <f>IF(J_V="SI",0,Datos!AH13)</f>
        <v>52</v>
      </c>
      <c r="S13">
        <f>IF(J_V="SI",0,Datos!AI13)</f>
        <v>49</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0.24836601307189543</v>
      </c>
      <c r="E16" s="348">
        <f>IF(ISNUMBER(
   IF(D_I="SI",(Datos!J16-Datos!T16)/Datos!T16,(Datos!J16+Datos!AD16-(Datos!T16+Datos!AL16))/(Datos!T16+Datos!AL16))
     ),IF(D_I="SI",(Datos!J16-Datos!T16)/Datos!T16,(Datos!J16+Datos!AD16-(Datos!T16+Datos!AL16))/(Datos!T16+Datos!AL16))," - ")</f>
        <v>-2.1156558533145273E-2</v>
      </c>
      <c r="F16" s="348">
        <f>IF(ISNUMBER(
   IF(D_I="SI",(Datos!K16-Datos!U16)/Datos!U16,(Datos!K16+Datos!AE16-(Datos!U16+Datos!AM16))/(Datos!U16+Datos!AM16))
     ),IF(D_I="SI",(Datos!K16-Datos!U16)/Datos!U16,(Datos!K16+Datos!AE16-(Datos!U16+Datos!AM16))/(Datos!U16+Datos!AM16))," - ")</f>
        <v>0.27556325823223571</v>
      </c>
      <c r="G16" s="349">
        <f>IF(ISNUMBER(
   IF(D_I="SI",(Datos!L16-Datos!V16)/Datos!V16,(Datos!L16+Datos!AF16-(Datos!V16+Datos!AN16))/(Datos!V16+Datos!AN16))
     ),IF(D_I="SI",(Datos!L16-Datos!V16)/Datos!V16,(Datos!L16+Datos!AF16-(Datos!V16+Datos!AN16))/(Datos!V16+Datos!AN16))," - ")</f>
        <v>-0.19895287958115182</v>
      </c>
      <c r="H16" s="230">
        <f>IF(ISNUMBER((Datos!M16-Datos!W16)/Datos!W16),(Datos!M16-Datos!W16)/Datos!W16," - ")</f>
        <v>0.4175824175824176</v>
      </c>
      <c r="I16" s="350">
        <f>IF(ISNUMBER((Tasas!C16-Datos!BE16)/Datos!BE16),(Tasas!C16-Datos!BE16)/Datos!BE16," - ")</f>
        <v>-0.37200517869337579</v>
      </c>
      <c r="J16" s="349">
        <f>IF(ISNUMBER((Tasas!D16-Datos!BF16)/Datos!BF16),(Tasas!D16-Datos!BF16)/Datos!BF16," - ")</f>
        <v>0.11133838987099856</v>
      </c>
      <c r="K16" s="351">
        <f>IF(ISNUMBER((Tasas!E16-Datos!BG16)/Datos!BG16),(Tasas!E16-Datos!BG16)/Datos!BG16," - ")</f>
        <v>-0.16891732705076037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0.4</v>
      </c>
      <c r="I17" s="350">
        <f>IF(ISNUMBER((Tasas!C17-Datos!BE17)/Datos!BE17),(Tasas!C17-Datos!BE17)/Datos!BE17," - ")</f>
        <v>-6.25E-2</v>
      </c>
      <c r="J17" s="349">
        <f>IF(ISNUMBER((Tasas!D17-Datos!BF17)/Datos!BF17),(Tasas!D17-Datos!BF17)/Datos!BF17," - ")</f>
        <v>0.31250000000000006</v>
      </c>
      <c r="K17" s="351">
        <f>IF(ISNUMBER((Tasas!E17-Datos!BG17)/Datos!BG17),(Tasas!E17-Datos!BG17)/Datos!BG17," - ")</f>
        <v>-1.2500000000000001E-2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0.25236593059936907</v>
      </c>
      <c r="E18" s="354">
        <f>IF(ISNUMBER(
   IF(D_I="SI",(Datos!J18-Datos!T18)/Datos!T18,(Datos!J18+Datos!AD18-(Datos!T18+Datos!AL18))/(Datos!T18+Datos!AL18))
     ),IF(D_I="SI",(Datos!J18-Datos!T18)/Datos!T18,(Datos!J18+Datos!AD18-(Datos!T18+Datos!AL18))/(Datos!T18+Datos!AL18))," - ")</f>
        <v>-1.9404915912031046E-2</v>
      </c>
      <c r="F18" s="354">
        <f>IF(ISNUMBER(
   IF(D_I="SI",(Datos!K18-Datos!U18)/Datos!U18,(Datos!K18+Datos!AE18-(Datos!U18+Datos!AM18))/(Datos!U18+Datos!AM18))
     ),IF(D_I="SI",(Datos!K18-Datos!U18)/Datos!U18,(Datos!K18+Datos!AE18-(Datos!U18+Datos!AM18))/(Datos!U18+Datos!AM18))," - ")</f>
        <v>0.25588697017268447</v>
      </c>
      <c r="G18" s="355">
        <f>IF(ISNUMBER(
   IF(D_I="SI",(Datos!L18-Datos!V18)/Datos!V18,(Datos!L18+Datos!AF18-(Datos!V18+Datos!AN18))/(Datos!V18+Datos!AN18))
     ),IF(D_I="SI",(Datos!L18-Datos!V18)/Datos!V18,(Datos!L18+Datos!AF18-(Datos!V18+Datos!AN18))/(Datos!V18+Datos!AN18))," - ")</f>
        <v>-0.19143576826196473</v>
      </c>
      <c r="H18" s="356">
        <f>IF(ISNUMBER((Datos!M18-Datos!W18)/Datos!W18),(Datos!M18-Datos!W18)/Datos!W18," - ")</f>
        <v>0.41666666666666669</v>
      </c>
      <c r="I18" s="357">
        <f>IF(ISNUMBER((Tasas!C18-Datos!BE18)/Datos!BE18),(Tasas!C18-Datos!BE18)/Datos!BE18," - ")</f>
        <v>-0.35618073047858939</v>
      </c>
      <c r="J18" s="355">
        <f>IF(ISNUMBER((Tasas!D18-Datos!BF18)/Datos!BF18),(Tasas!D18-Datos!BF18)/Datos!BF18," - ")</f>
        <v>0.1280208333333335</v>
      </c>
      <c r="K18" s="358">
        <f>IF(ISNUMBER((Tasas!E18-Datos!BG18)/Datos!BG18),(Tasas!E18-Datos!BG18)/Datos!BG18," - ")</f>
        <v>-0.1562672018348624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0.27360308285163776</v>
      </c>
      <c r="E19" s="363">
        <f>IF(ISNUMBER(
   IF(J_V="SI",(Datos!J19-Datos!T19)/Datos!T19,(Datos!J19+Datos!Z19-(Datos!T19+Datos!AH19))/(Datos!T19+Datos!AH19))
     ),IF(J_V="SI",(Datos!J19-Datos!T19)/Datos!T19,(Datos!J19+Datos!Z19-(Datos!T19+Datos!AH19))/(Datos!T19+Datos!AH19))," - ")</f>
        <v>8.1659105638366813E-2</v>
      </c>
      <c r="F19" s="363">
        <f>IF(ISNUMBER(
   IF(J_V="SI",(Datos!K19-Datos!U19)/Datos!U19,(Datos!K19+Datos!AA19-(Datos!U19+Datos!AI19))/(Datos!U19+Datos!AI19))
     ),IF(J_V="SI",(Datos!K19-Datos!U19)/Datos!U19,(Datos!K19+Datos!AA19-(Datos!U19+Datos!AI19))/(Datos!U19+Datos!AI19))," - ")</f>
        <v>0.2312267657992565</v>
      </c>
      <c r="G19" s="364">
        <f>IF(ISNUMBER(
   IF(J_V="SI",(Datos!L19-Datos!V19)/Datos!V19,(Datos!L19+Datos!AB19-(Datos!V19+Datos!AJ19))/(Datos!V19+Datos!AJ19))
     ),IF(J_V="SI",(Datos!L19-Datos!V19)/Datos!V19,(Datos!L19+Datos!AB19-(Datos!V19+Datos!AJ19))/(Datos!V19+Datos!AJ19))," - ")</f>
        <v>-3.0257186081694403E-3</v>
      </c>
      <c r="H19" s="365">
        <f>IF(ISNUMBER((Datos!M19-Datos!W19)/Datos!W19),(Datos!M19-Datos!W19)/Datos!W19," - ")</f>
        <v>0.56746031746031744</v>
      </c>
      <c r="I19" s="362">
        <f>IF(ISNUMBER((Tasas!C19-Datos!BE19)/Datos!BE19),(Tasas!C19-Datos!BE19)/Datos!BE19," - ")</f>
        <v>-0.19025941517390574</v>
      </c>
      <c r="J19" s="363">
        <f>IF(ISNUMBER((Tasas!D19-Datos!BF19)/Datos!BF19),(Tasas!D19-Datos!BF19)/Datos!BF19," - ")</f>
        <v>-5.6416950838306251E-2</v>
      </c>
      <c r="K19" s="364">
        <f>IF(ISNUMBER((Tasas!E19-Datos!BG19)/Datos!BG19),(Tasas!E19-Datos!BG19)/Datos!BG19," - ")</f>
        <v>-8.2239816884315725E-2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0.15364732524597643</v>
      </c>
      <c r="E21" s="278">
        <f t="shared" si="1"/>
        <v>0.13210857495998604</v>
      </c>
      <c r="F21" s="278">
        <f t="shared" si="1"/>
        <v>9.7522866224114005E-2</v>
      </c>
      <c r="G21" s="279">
        <f t="shared" si="1"/>
        <v>0.11273727211602314</v>
      </c>
      <c r="H21" s="285">
        <f t="shared" si="1"/>
        <v>0.24513713844215015</v>
      </c>
      <c r="I21" s="277">
        <f t="shared" si="1"/>
        <v>0.19491213662593324</v>
      </c>
      <c r="J21" s="278">
        <f t="shared" si="1"/>
        <v>0.19698500735127156</v>
      </c>
      <c r="K21" s="279">
        <f t="shared" si="1"/>
        <v>7.7866158580311914E-2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Lgu1sUJo+MUi3439zOkiT04p7/x1aX0macFuuvl/swsCJOcUtISd7+kBvKNoo3e4sDOozQYkTUa2k/bEt3Oyg==" saltValue="4d44FxcdJEvDNcFVEwTy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